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6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Y:\Server\Quotations\OPEN BUILDER &amp;  MISC. BIDS\LDS Temple Projects\Pago Pago AS Temple\Endowment Room\"/>
    </mc:Choice>
  </mc:AlternateContent>
  <xr:revisionPtr revIDLastSave="0" documentId="13_ncr:1_{14D77287-9B9F-4E71-9709-3F701E48BDEA}" xr6:coauthVersionLast="47" xr6:coauthVersionMax="47" xr10:uidLastSave="{00000000-0000-0000-0000-000000000000}"/>
  <bookViews>
    <workbookView xWindow="-118" yWindow="-118" windowWidth="25370" windowHeight="13759" activeTab="3" xr2:uid="{00000000-000D-0000-FFFF-FFFF00000000}"/>
  </bookViews>
  <sheets>
    <sheet name="General_Bid" sheetId="11" r:id="rId1"/>
    <sheet name="Data Sheet" sheetId="21" state="hidden" r:id="rId2"/>
    <sheet name="Worksheet" sheetId="1" r:id="rId3"/>
    <sheet name="Tickets" sheetId="27" r:id="rId4"/>
    <sheet name="Tube Cut" sheetId="5" r:id="rId5"/>
    <sheet name="Shade Shop Copy" sheetId="31" r:id="rId6"/>
    <sheet name="Installation Copy" sheetId="32" r:id="rId7"/>
    <sheet name="Package Labels" sheetId="28" r:id="rId8"/>
    <sheet name="Fascia Labels" sheetId="30" r:id="rId9"/>
    <sheet name="Factor update" sheetId="25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bill_name" localSheetId="8">Worksheet!$C$5</definedName>
    <definedName name="Bill_Name" localSheetId="6">'Installation Copy'!$D$5</definedName>
    <definedName name="bill_name" localSheetId="7">[1]Worksheet!$C$5</definedName>
    <definedName name="Bill_Name" localSheetId="5">'Shade Shop Copy'!$D$5</definedName>
    <definedName name="Bill_Name" localSheetId="3">Worksheet!$D$5</definedName>
    <definedName name="Bill_Name">Worksheet!$D$5</definedName>
    <definedName name="bracket" localSheetId="9">[2]Worksheet!$AC$6</definedName>
    <definedName name="bracket" localSheetId="8">Worksheet!$AA$5</definedName>
    <definedName name="bracket" localSheetId="0">[2]Worksheet!$AC$6</definedName>
    <definedName name="bracket" localSheetId="6">'Installation Copy'!#REF!</definedName>
    <definedName name="bracket" localSheetId="7">[1]Worksheet!$Y$5</definedName>
    <definedName name="bracket" localSheetId="5">'Shade Shop Copy'!#REF!</definedName>
    <definedName name="bracket" localSheetId="3">Worksheet!$AE$5</definedName>
    <definedName name="bracket" localSheetId="4">'Tube Cut'!#REF!</definedName>
    <definedName name="bracket">Worksheet!$AE$5</definedName>
    <definedName name="Brackets">#REF!</definedName>
    <definedName name="channel" localSheetId="9">[2]Worksheet!$AC$8</definedName>
    <definedName name="channel" localSheetId="8">Worksheet!$AA$7</definedName>
    <definedName name="channel" localSheetId="0">[2]Worksheet!$AC$8</definedName>
    <definedName name="channel" localSheetId="6">'Installation Copy'!#REF!</definedName>
    <definedName name="channel" localSheetId="7">[1]Worksheet!$Y$7</definedName>
    <definedName name="channel" localSheetId="5">'Shade Shop Copy'!#REF!</definedName>
    <definedName name="channel" localSheetId="3">Worksheet!$AE$7</definedName>
    <definedName name="channel" localSheetId="4">'Tube Cut'!#REF!</definedName>
    <definedName name="channel">Worksheet!$AE$7</definedName>
    <definedName name="Cyc_fab">'[3]Stage worksheet'!$T$7</definedName>
    <definedName name="Deliver" localSheetId="9">[2]Worksheet!$R$4</definedName>
    <definedName name="Deliver" localSheetId="0">[2]Worksheet!$R$4</definedName>
    <definedName name="Deliver" localSheetId="4">'Tube Cut'!#REF!</definedName>
    <definedName name="Fabric_1" localSheetId="8">Worksheet!$X$6</definedName>
    <definedName name="Fabric_1" localSheetId="6">'Installation Copy'!#REF!</definedName>
    <definedName name="Fabric_1" localSheetId="7">Worksheet!$X$6</definedName>
    <definedName name="Fabric_1" localSheetId="5">'Shade Shop Copy'!#REF!</definedName>
    <definedName name="Fabric_1" localSheetId="3">Worksheet!$AA$6</definedName>
    <definedName name="Fabric_1">Worksheet!$AA$6</definedName>
    <definedName name="Fabric_2" localSheetId="8">Worksheet!$X$7</definedName>
    <definedName name="Fabric_2" localSheetId="6">'Installation Copy'!#REF!</definedName>
    <definedName name="Fabric_2" localSheetId="7">Worksheet!$X$7</definedName>
    <definedName name="Fabric_2" localSheetId="5">'Shade Shop Copy'!#REF!</definedName>
    <definedName name="Fabric_2" localSheetId="3">Worksheet!$AA$7</definedName>
    <definedName name="Fabric_2">Worksheet!$AA$7</definedName>
    <definedName name="Fabric_3" localSheetId="8">Worksheet!$X$8</definedName>
    <definedName name="Fabric_3" localSheetId="6">'Installation Copy'!#REF!</definedName>
    <definedName name="Fabric_3" localSheetId="7">Worksheet!$X$8</definedName>
    <definedName name="Fabric_3" localSheetId="5">'Shade Shop Copy'!#REF!</definedName>
    <definedName name="Fabric_3" localSheetId="3">Worksheet!$AA$8</definedName>
    <definedName name="Fabric_3">Worksheet!$AA$8</definedName>
    <definedName name="Fabric_4" localSheetId="8">Worksheet!$X$9</definedName>
    <definedName name="Fabric_4" localSheetId="6">'Installation Copy'!#REF!</definedName>
    <definedName name="Fabric_4" localSheetId="7">Worksheet!$X$9</definedName>
    <definedName name="Fabric_4" localSheetId="5">'Shade Shop Copy'!#REF!</definedName>
    <definedName name="Fabric_4" localSheetId="3">Worksheet!$AA$9</definedName>
    <definedName name="Fabric_4">Worksheet!$AA$9</definedName>
    <definedName name="Fabric1">#REF!</definedName>
    <definedName name="Fabric2">#REF!</definedName>
    <definedName name="Fabric3">#REF!</definedName>
    <definedName name="Fabric4">#REF!</definedName>
    <definedName name="facia" localSheetId="9">[2]Worksheet!$AC$7</definedName>
    <definedName name="facia" localSheetId="8">Worksheet!$AA$6</definedName>
    <definedName name="facia" localSheetId="0">[2]Worksheet!$AC$7</definedName>
    <definedName name="facia" localSheetId="6">'Installation Copy'!#REF!</definedName>
    <definedName name="facia" localSheetId="7">[1]Worksheet!$Y$6</definedName>
    <definedName name="facia" localSheetId="5">'Shade Shop Copy'!#REF!</definedName>
    <definedName name="facia" localSheetId="3">Worksheet!$AE$6</definedName>
    <definedName name="facia" localSheetId="4">'Tube Cut'!#REF!</definedName>
    <definedName name="facia">Worksheet!$AE$6</definedName>
    <definedName name="factor" localSheetId="9">[2]Worksheet!$AC$5</definedName>
    <definedName name="factor" localSheetId="8">[4]Worksheet!$Y$4</definedName>
    <definedName name="factor" localSheetId="0">[2]Worksheet!$AC$5</definedName>
    <definedName name="factor" localSheetId="6">'Installation Copy'!#REF!</definedName>
    <definedName name="factor" localSheetId="7">[1]Worksheet!$Y$4</definedName>
    <definedName name="factor" localSheetId="5">'Shade Shop Copy'!#REF!</definedName>
    <definedName name="factor" localSheetId="4">'Tube Cut'!#REF!</definedName>
    <definedName name="factor">Worksheet!$AE$4</definedName>
    <definedName name="FactorUpdate" localSheetId="8">[5]Worksheet!$Y$4</definedName>
    <definedName name="FactorUpdate">[6]Worksheet!$Y$4</definedName>
    <definedName name="Fascia">#REF!</definedName>
    <definedName name="heavy_tube" localSheetId="9">[2]Worksheet!$R$7</definedName>
    <definedName name="heavy_tube" localSheetId="0">[2]Worksheet!$R$7</definedName>
    <definedName name="Install" localSheetId="9">[2]Worksheet!$R$3</definedName>
    <definedName name="install" localSheetId="8">'[3]Stage worksheet'!$T$4</definedName>
    <definedName name="Install" localSheetId="0">[2]Worksheet!$R$3</definedName>
    <definedName name="Install" localSheetId="6">'Installation Copy'!$Q$9</definedName>
    <definedName name="install" localSheetId="7">'[3]Stage worksheet'!$T$4</definedName>
    <definedName name="Install" localSheetId="5">'Shade Shop Copy'!$Q$9</definedName>
    <definedName name="Install" localSheetId="3">Worksheet!$Q$9</definedName>
    <definedName name="Install" localSheetId="4">'Tube Cut'!#REF!</definedName>
    <definedName name="Install">Worksheet!$Q$9</definedName>
    <definedName name="install_price" localSheetId="8">#REF!</definedName>
    <definedName name="install_price" localSheetId="7">#REF!</definedName>
    <definedName name="install_price">#REF!</definedName>
    <definedName name="InstallationPrice">#REF!</definedName>
    <definedName name="jobname" localSheetId="9">[2]Worksheet!$N$7</definedName>
    <definedName name="jobname" localSheetId="8">Worksheet!$J$5</definedName>
    <definedName name="jobname" localSheetId="6">'Installation Copy'!$O$5</definedName>
    <definedName name="jobname" localSheetId="7">Worksheet!$J$5</definedName>
    <definedName name="jobname" localSheetId="5">'Shade Shop Copy'!$L$5</definedName>
    <definedName name="jobname" localSheetId="3">Worksheet!$L$5</definedName>
    <definedName name="jobname">Worksheet!$L$5</definedName>
    <definedName name="jobnumber" localSheetId="9">[2]Worksheet!$AB$2</definedName>
    <definedName name="jobnumber" localSheetId="8">Worksheet!$AA$2</definedName>
    <definedName name="jobnumber" localSheetId="0">[2]Worksheet!$AB$2</definedName>
    <definedName name="jobnumber" localSheetId="6">'Installation Copy'!#REF!</definedName>
    <definedName name="jobnumber" localSheetId="5">'Shade Shop Copy'!#REF!</definedName>
    <definedName name="jobnumber" localSheetId="3">Worksheet!$AE$2</definedName>
    <definedName name="jobnumber" localSheetId="4">'Tube Cut'!#REF!</definedName>
    <definedName name="jobnumber">Worksheet!$AE$2</definedName>
    <definedName name="line1" localSheetId="8">#REF!</definedName>
    <definedName name="line1" localSheetId="6">'Installation Copy'!$15:$15</definedName>
    <definedName name="line1" localSheetId="7">#REF!</definedName>
    <definedName name="line1" localSheetId="5">'Shade Shop Copy'!$15:$15</definedName>
    <definedName name="line1" localSheetId="4">'Tube Cut'!$15:$15</definedName>
    <definedName name="line1">Worksheet!$15:$15</definedName>
    <definedName name="Lining_Sew_Price">'[7]Drapery Work Order'!#REF!</definedName>
    <definedName name="markup" localSheetId="9">'Factor update'!$P$2</definedName>
    <definedName name="markup" localSheetId="0">'[2]Factor list'!$P$2</definedName>
    <definedName name="Order_number">#REF!</definedName>
    <definedName name="PriceFactor">[4]Worksheet!$Y$4</definedName>
    <definedName name="PriceUpdate">[6]Worksheet!$Y$4</definedName>
    <definedName name="_xlnm.Print_Area" localSheetId="8">'Fascia Labels'!$B$1:$P$41</definedName>
    <definedName name="_xlnm.Print_Area" localSheetId="0">General_Bid!$A$1:$I$57</definedName>
    <definedName name="_xlnm.Print_Area" localSheetId="6">'Installation Copy'!$B$1:$T$41</definedName>
    <definedName name="_xlnm.Print_Area" localSheetId="7">'Package Labels'!$B$1:$L$30</definedName>
    <definedName name="_xlnm.Print_Area" localSheetId="5">'Shade Shop Copy'!$B$1:$T$41</definedName>
    <definedName name="_xlnm.Print_Area" localSheetId="3">Tickets!$S$4:$AE$15</definedName>
    <definedName name="_xlnm.Print_Area" localSheetId="4">'Tube Cut'!$B$4:$P$39</definedName>
    <definedName name="_xlnm.Print_Area" localSheetId="2">Worksheet!$B$1:$AF$41</definedName>
    <definedName name="Proc_Fab">'[3]Stage worksheet'!$T$6</definedName>
    <definedName name="Project_Name">#REF!</definedName>
    <definedName name="reg_tube" localSheetId="9">[2]Worksheet!$R$6</definedName>
    <definedName name="reg_tube" localSheetId="0">[2]Worksheet!$R$6</definedName>
    <definedName name="sew">'[3]Stage worksheet'!$T$5</definedName>
    <definedName name="sew_price" localSheetId="8">#REF!</definedName>
    <definedName name="sew_price" localSheetId="7">#REF!</definedName>
    <definedName name="sew_price">#REF!</definedName>
    <definedName name="SideRail">#REF!</definedName>
    <definedName name="squeeze" localSheetId="8">#REF!</definedName>
    <definedName name="squeeze" localSheetId="7">#REF!</definedName>
    <definedName name="squeeze">#REF!</definedName>
    <definedName name="Test" localSheetId="8">#REF!</definedName>
    <definedName name="Test" localSheetId="7">#REF!</definedName>
    <definedName name="Test">#REF!</definedName>
    <definedName name="Will_call" localSheetId="9">[2]Worksheet!$R$5</definedName>
    <definedName name="Will_call" localSheetId="0">[2]Worksheet!$R$5</definedName>
    <definedName name="Will_call" localSheetId="4">'Tube Cut'!#REF!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8" i="1" l="1"/>
  <c r="AD17" i="1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15" i="5"/>
  <c r="O9" i="32"/>
  <c r="O10" i="32"/>
  <c r="O11" i="32"/>
  <c r="O6" i="32"/>
  <c r="O7" i="32"/>
  <c r="O8" i="32"/>
  <c r="M6" i="32"/>
  <c r="M7" i="32"/>
  <c r="O39" i="32"/>
  <c r="S34" i="32"/>
  <c r="R34" i="32"/>
  <c r="Q34" i="32"/>
  <c r="P34" i="32"/>
  <c r="O34" i="32"/>
  <c r="N34" i="32"/>
  <c r="M34" i="32"/>
  <c r="L34" i="32"/>
  <c r="K34" i="32"/>
  <c r="J34" i="32"/>
  <c r="I34" i="32"/>
  <c r="H34" i="32"/>
  <c r="F34" i="32"/>
  <c r="E34" i="32"/>
  <c r="D34" i="32"/>
  <c r="C34" i="32"/>
  <c r="S33" i="32"/>
  <c r="R33" i="32"/>
  <c r="Q33" i="32"/>
  <c r="P33" i="32"/>
  <c r="O33" i="32"/>
  <c r="N33" i="32"/>
  <c r="M33" i="32"/>
  <c r="L33" i="32"/>
  <c r="K33" i="32"/>
  <c r="J33" i="32"/>
  <c r="I33" i="32"/>
  <c r="H33" i="32"/>
  <c r="F33" i="32"/>
  <c r="E33" i="32"/>
  <c r="D33" i="32"/>
  <c r="C33" i="32"/>
  <c r="S32" i="32"/>
  <c r="R32" i="32"/>
  <c r="Q32" i="32"/>
  <c r="P32" i="32"/>
  <c r="O32" i="32"/>
  <c r="N32" i="32"/>
  <c r="M32" i="32"/>
  <c r="L32" i="32"/>
  <c r="K32" i="32"/>
  <c r="J32" i="32"/>
  <c r="I32" i="32"/>
  <c r="H32" i="32"/>
  <c r="F32" i="32"/>
  <c r="E32" i="32"/>
  <c r="D32" i="32"/>
  <c r="C32" i="32"/>
  <c r="S31" i="32"/>
  <c r="R31" i="32"/>
  <c r="Q31" i="32"/>
  <c r="P31" i="32"/>
  <c r="O31" i="32"/>
  <c r="N31" i="32"/>
  <c r="M31" i="32"/>
  <c r="L31" i="32"/>
  <c r="K31" i="32"/>
  <c r="J31" i="32"/>
  <c r="I31" i="32"/>
  <c r="H31" i="32"/>
  <c r="F31" i="32"/>
  <c r="E31" i="32"/>
  <c r="D31" i="32"/>
  <c r="C31" i="32"/>
  <c r="S30" i="32"/>
  <c r="R30" i="32"/>
  <c r="Q30" i="32"/>
  <c r="P30" i="32"/>
  <c r="O30" i="32"/>
  <c r="N30" i="32"/>
  <c r="M30" i="32"/>
  <c r="L30" i="32"/>
  <c r="K30" i="32"/>
  <c r="J30" i="32"/>
  <c r="I30" i="32"/>
  <c r="H30" i="32"/>
  <c r="F30" i="32"/>
  <c r="E30" i="32"/>
  <c r="D30" i="32"/>
  <c r="C30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F29" i="32"/>
  <c r="E29" i="32"/>
  <c r="D29" i="32"/>
  <c r="C29" i="32"/>
  <c r="S28" i="32"/>
  <c r="R28" i="32"/>
  <c r="Q28" i="32"/>
  <c r="P28" i="32"/>
  <c r="O28" i="32"/>
  <c r="N28" i="32"/>
  <c r="M28" i="32"/>
  <c r="L28" i="32"/>
  <c r="K28" i="32"/>
  <c r="J28" i="32"/>
  <c r="I28" i="32"/>
  <c r="H28" i="32"/>
  <c r="F28" i="32"/>
  <c r="E28" i="32"/>
  <c r="D28" i="32"/>
  <c r="C28" i="32"/>
  <c r="S27" i="32"/>
  <c r="R27" i="32"/>
  <c r="Q27" i="32"/>
  <c r="P27" i="32"/>
  <c r="O27" i="32"/>
  <c r="N27" i="32"/>
  <c r="M27" i="32"/>
  <c r="L27" i="32"/>
  <c r="K27" i="32"/>
  <c r="J27" i="32"/>
  <c r="I27" i="32"/>
  <c r="H27" i="32"/>
  <c r="F27" i="32"/>
  <c r="E27" i="32"/>
  <c r="D27" i="32"/>
  <c r="C27" i="32"/>
  <c r="S26" i="32"/>
  <c r="R26" i="32"/>
  <c r="Q26" i="32"/>
  <c r="P26" i="32"/>
  <c r="O26" i="32"/>
  <c r="N26" i="32"/>
  <c r="M26" i="32"/>
  <c r="L26" i="32"/>
  <c r="K26" i="32"/>
  <c r="J26" i="32"/>
  <c r="I26" i="32"/>
  <c r="H26" i="32"/>
  <c r="F26" i="32"/>
  <c r="E26" i="32"/>
  <c r="D26" i="32"/>
  <c r="C26" i="32"/>
  <c r="S25" i="32"/>
  <c r="R25" i="32"/>
  <c r="Q25" i="32"/>
  <c r="P25" i="32"/>
  <c r="O25" i="32"/>
  <c r="N25" i="32"/>
  <c r="M25" i="32"/>
  <c r="L25" i="32"/>
  <c r="K25" i="32"/>
  <c r="J25" i="32"/>
  <c r="I25" i="32"/>
  <c r="H25" i="32"/>
  <c r="F25" i="32"/>
  <c r="E25" i="32"/>
  <c r="D25" i="32"/>
  <c r="C25" i="32"/>
  <c r="S24" i="32"/>
  <c r="R24" i="32"/>
  <c r="Q24" i="32"/>
  <c r="P24" i="32"/>
  <c r="O24" i="32"/>
  <c r="N24" i="32"/>
  <c r="M24" i="32"/>
  <c r="L24" i="32"/>
  <c r="K24" i="32"/>
  <c r="J24" i="32"/>
  <c r="I24" i="32"/>
  <c r="H24" i="32"/>
  <c r="F24" i="32"/>
  <c r="E24" i="32"/>
  <c r="D24" i="32"/>
  <c r="C24" i="32"/>
  <c r="S23" i="32"/>
  <c r="R23" i="32"/>
  <c r="Q23" i="32"/>
  <c r="P23" i="32"/>
  <c r="O23" i="32"/>
  <c r="N23" i="32"/>
  <c r="M23" i="32"/>
  <c r="L23" i="32"/>
  <c r="K23" i="32"/>
  <c r="J23" i="32"/>
  <c r="I23" i="32"/>
  <c r="H23" i="32"/>
  <c r="F23" i="32"/>
  <c r="E23" i="32"/>
  <c r="D23" i="32"/>
  <c r="C23" i="32"/>
  <c r="S22" i="32"/>
  <c r="R22" i="32"/>
  <c r="Q22" i="32"/>
  <c r="P22" i="32"/>
  <c r="O22" i="32"/>
  <c r="N22" i="32"/>
  <c r="M22" i="32"/>
  <c r="L22" i="32"/>
  <c r="K22" i="32"/>
  <c r="J22" i="32"/>
  <c r="I22" i="32"/>
  <c r="H22" i="32"/>
  <c r="F22" i="32"/>
  <c r="E22" i="32"/>
  <c r="D22" i="32"/>
  <c r="C22" i="32"/>
  <c r="S21" i="32"/>
  <c r="R21" i="32"/>
  <c r="Q21" i="32"/>
  <c r="P21" i="32"/>
  <c r="O21" i="32"/>
  <c r="N21" i="32"/>
  <c r="M21" i="32"/>
  <c r="L21" i="32"/>
  <c r="K21" i="32"/>
  <c r="J21" i="32"/>
  <c r="I21" i="32"/>
  <c r="H21" i="32"/>
  <c r="F21" i="32"/>
  <c r="E21" i="32"/>
  <c r="D21" i="32"/>
  <c r="C21" i="32"/>
  <c r="S20" i="32"/>
  <c r="R20" i="32"/>
  <c r="O20" i="32"/>
  <c r="N20" i="32"/>
  <c r="M20" i="32"/>
  <c r="L20" i="32"/>
  <c r="K20" i="32"/>
  <c r="J20" i="32"/>
  <c r="I20" i="32"/>
  <c r="H20" i="32"/>
  <c r="F20" i="32"/>
  <c r="E20" i="32"/>
  <c r="D20" i="32"/>
  <c r="C20" i="32"/>
  <c r="S19" i="32"/>
  <c r="R19" i="32"/>
  <c r="O19" i="32"/>
  <c r="N19" i="32"/>
  <c r="M19" i="32"/>
  <c r="L19" i="32"/>
  <c r="K19" i="32"/>
  <c r="J19" i="32"/>
  <c r="I19" i="32"/>
  <c r="H19" i="32"/>
  <c r="F19" i="32"/>
  <c r="E19" i="32"/>
  <c r="D19" i="32"/>
  <c r="C19" i="32"/>
  <c r="S18" i="32"/>
  <c r="R18" i="32"/>
  <c r="P18" i="32"/>
  <c r="O18" i="32"/>
  <c r="N18" i="32"/>
  <c r="M18" i="32"/>
  <c r="L18" i="32"/>
  <c r="K18" i="32"/>
  <c r="J18" i="32"/>
  <c r="I18" i="32"/>
  <c r="H18" i="32"/>
  <c r="F18" i="32"/>
  <c r="E18" i="32"/>
  <c r="D18" i="32"/>
  <c r="C18" i="32"/>
  <c r="S17" i="32"/>
  <c r="R17" i="32"/>
  <c r="P17" i="32"/>
  <c r="O17" i="32"/>
  <c r="N17" i="32"/>
  <c r="M17" i="32"/>
  <c r="L17" i="32"/>
  <c r="K17" i="32"/>
  <c r="J17" i="32"/>
  <c r="I17" i="32"/>
  <c r="H17" i="32"/>
  <c r="F17" i="32"/>
  <c r="E17" i="32"/>
  <c r="D17" i="32"/>
  <c r="C17" i="32"/>
  <c r="S16" i="32"/>
  <c r="R16" i="32"/>
  <c r="O16" i="32"/>
  <c r="N16" i="32"/>
  <c r="M16" i="32"/>
  <c r="L16" i="32"/>
  <c r="K16" i="32"/>
  <c r="J16" i="32"/>
  <c r="I16" i="32"/>
  <c r="H16" i="32"/>
  <c r="F16" i="32"/>
  <c r="E16" i="32"/>
  <c r="D16" i="32"/>
  <c r="C16" i="32"/>
  <c r="S15" i="32"/>
  <c r="R15" i="32"/>
  <c r="O15" i="32"/>
  <c r="N15" i="32"/>
  <c r="M15" i="32"/>
  <c r="L15" i="32"/>
  <c r="K15" i="32"/>
  <c r="J15" i="32"/>
  <c r="I15" i="32"/>
  <c r="H15" i="32"/>
  <c r="G15" i="32"/>
  <c r="F15" i="32"/>
  <c r="E15" i="32"/>
  <c r="D15" i="32"/>
  <c r="C15" i="32"/>
  <c r="Q5" i="32"/>
  <c r="B32" i="32" s="1"/>
  <c r="M5" i="32"/>
  <c r="O5" i="32"/>
  <c r="T2" i="32"/>
  <c r="S2" i="32"/>
  <c r="O39" i="31"/>
  <c r="S2" i="31"/>
  <c r="T2" i="31"/>
  <c r="O5" i="31"/>
  <c r="N5" i="31"/>
  <c r="M5" i="31"/>
  <c r="L5" i="31"/>
  <c r="Q5" i="31"/>
  <c r="S16" i="31"/>
  <c r="S17" i="31"/>
  <c r="S18" i="31"/>
  <c r="S19" i="31"/>
  <c r="S20" i="31"/>
  <c r="S21" i="31"/>
  <c r="S22" i="31"/>
  <c r="S23" i="31"/>
  <c r="S24" i="31"/>
  <c r="S25" i="31"/>
  <c r="S26" i="31"/>
  <c r="S27" i="31"/>
  <c r="S28" i="31"/>
  <c r="S29" i="31"/>
  <c r="S30" i="31"/>
  <c r="S31" i="31"/>
  <c r="S32" i="31"/>
  <c r="S33" i="31"/>
  <c r="S34" i="31"/>
  <c r="R16" i="31"/>
  <c r="R17" i="31"/>
  <c r="R18" i="31"/>
  <c r="R19" i="31"/>
  <c r="R20" i="31"/>
  <c r="R21" i="31"/>
  <c r="R22" i="31"/>
  <c r="R23" i="31"/>
  <c r="R24" i="31"/>
  <c r="R25" i="31"/>
  <c r="R26" i="31"/>
  <c r="R27" i="31"/>
  <c r="R28" i="31"/>
  <c r="R29" i="31"/>
  <c r="R30" i="31"/>
  <c r="R31" i="31"/>
  <c r="R32" i="31"/>
  <c r="R33" i="31"/>
  <c r="R34" i="31"/>
  <c r="Q21" i="31"/>
  <c r="Q22" i="31"/>
  <c r="Q23" i="31"/>
  <c r="Q24" i="31"/>
  <c r="Q25" i="31"/>
  <c r="Q26" i="31"/>
  <c r="Q27" i="31"/>
  <c r="Q28" i="31"/>
  <c r="Q29" i="31"/>
  <c r="Q30" i="31"/>
  <c r="Q31" i="31"/>
  <c r="Q32" i="31"/>
  <c r="Q33" i="31"/>
  <c r="Q34" i="31"/>
  <c r="P17" i="31"/>
  <c r="P18" i="31"/>
  <c r="P21" i="31"/>
  <c r="P22" i="31"/>
  <c r="P23" i="31"/>
  <c r="P24" i="31"/>
  <c r="P25" i="31"/>
  <c r="P26" i="31"/>
  <c r="P27" i="31"/>
  <c r="P28" i="31"/>
  <c r="P29" i="31"/>
  <c r="P30" i="31"/>
  <c r="P31" i="31"/>
  <c r="P32" i="31"/>
  <c r="P33" i="31"/>
  <c r="P34" i="31"/>
  <c r="O16" i="31"/>
  <c r="O17" i="31"/>
  <c r="O18" i="31"/>
  <c r="O19" i="31"/>
  <c r="O20" i="31"/>
  <c r="O21" i="31"/>
  <c r="O22" i="31"/>
  <c r="O23" i="31"/>
  <c r="O24" i="31"/>
  <c r="O25" i="31"/>
  <c r="O26" i="31"/>
  <c r="O27" i="31"/>
  <c r="O28" i="31"/>
  <c r="O29" i="31"/>
  <c r="O30" i="31"/>
  <c r="O31" i="31"/>
  <c r="O32" i="31"/>
  <c r="O33" i="31"/>
  <c r="O34" i="31"/>
  <c r="N16" i="31"/>
  <c r="N17" i="31"/>
  <c r="N18" i="31"/>
  <c r="N19" i="31"/>
  <c r="N20" i="31"/>
  <c r="N21" i="31"/>
  <c r="N22" i="31"/>
  <c r="N23" i="31"/>
  <c r="N24" i="31"/>
  <c r="N25" i="31"/>
  <c r="N26" i="31"/>
  <c r="N27" i="31"/>
  <c r="N28" i="31"/>
  <c r="N29" i="31"/>
  <c r="N30" i="31"/>
  <c r="N31" i="31"/>
  <c r="N32" i="31"/>
  <c r="N33" i="31"/>
  <c r="N34" i="31"/>
  <c r="M16" i="31"/>
  <c r="M17" i="31"/>
  <c r="M18" i="31"/>
  <c r="M19" i="31"/>
  <c r="M20" i="31"/>
  <c r="M21" i="31"/>
  <c r="M22" i="31"/>
  <c r="M23" i="31"/>
  <c r="M24" i="31"/>
  <c r="M25" i="31"/>
  <c r="M26" i="31"/>
  <c r="M27" i="31"/>
  <c r="M28" i="31"/>
  <c r="M29" i="31"/>
  <c r="M30" i="31"/>
  <c r="M31" i="31"/>
  <c r="M32" i="31"/>
  <c r="M33" i="31"/>
  <c r="M34" i="31"/>
  <c r="L16" i="31"/>
  <c r="L17" i="31"/>
  <c r="L18" i="31"/>
  <c r="L19" i="31"/>
  <c r="L20" i="31"/>
  <c r="L21" i="31"/>
  <c r="L22" i="31"/>
  <c r="L23" i="31"/>
  <c r="L24" i="31"/>
  <c r="L25" i="31"/>
  <c r="L26" i="31"/>
  <c r="L27" i="31"/>
  <c r="L28" i="31"/>
  <c r="L29" i="31"/>
  <c r="L30" i="31"/>
  <c r="L31" i="31"/>
  <c r="L32" i="31"/>
  <c r="L33" i="31"/>
  <c r="L34" i="31"/>
  <c r="K16" i="31"/>
  <c r="K17" i="31"/>
  <c r="K18" i="31"/>
  <c r="K19" i="31"/>
  <c r="K20" i="31"/>
  <c r="K21" i="31"/>
  <c r="K22" i="31"/>
  <c r="K23" i="31"/>
  <c r="K24" i="31"/>
  <c r="K25" i="31"/>
  <c r="K26" i="31"/>
  <c r="K27" i="31"/>
  <c r="K28" i="31"/>
  <c r="K29" i="31"/>
  <c r="K30" i="31"/>
  <c r="K31" i="31"/>
  <c r="K32" i="31"/>
  <c r="K33" i="31"/>
  <c r="K34" i="31"/>
  <c r="J16" i="31"/>
  <c r="J17" i="31"/>
  <c r="J18" i="31"/>
  <c r="J19" i="31"/>
  <c r="J20" i="31"/>
  <c r="J21" i="31"/>
  <c r="J22" i="31"/>
  <c r="J23" i="31"/>
  <c r="J24" i="31"/>
  <c r="J25" i="31"/>
  <c r="J26" i="31"/>
  <c r="J27" i="31"/>
  <c r="J28" i="31"/>
  <c r="J29" i="31"/>
  <c r="J30" i="31"/>
  <c r="J31" i="31"/>
  <c r="J32" i="31"/>
  <c r="J33" i="31"/>
  <c r="J34" i="31"/>
  <c r="I16" i="31"/>
  <c r="I17" i="31"/>
  <c r="I18" i="31"/>
  <c r="I19" i="31"/>
  <c r="I20" i="31"/>
  <c r="I21" i="31"/>
  <c r="I22" i="31"/>
  <c r="I23" i="31"/>
  <c r="I24" i="31"/>
  <c r="I25" i="31"/>
  <c r="I26" i="31"/>
  <c r="I27" i="31"/>
  <c r="I28" i="31"/>
  <c r="I29" i="31"/>
  <c r="I30" i="31"/>
  <c r="I31" i="31"/>
  <c r="I32" i="31"/>
  <c r="I33" i="31"/>
  <c r="I34" i="31"/>
  <c r="H16" i="31"/>
  <c r="H17" i="31"/>
  <c r="H18" i="31"/>
  <c r="H19" i="31"/>
  <c r="H20" i="31"/>
  <c r="H21" i="31"/>
  <c r="H22" i="31"/>
  <c r="H23" i="31"/>
  <c r="H24" i="31"/>
  <c r="H25" i="31"/>
  <c r="H26" i="31"/>
  <c r="H27" i="31"/>
  <c r="H28" i="31"/>
  <c r="H29" i="31"/>
  <c r="H30" i="31"/>
  <c r="H31" i="31"/>
  <c r="H32" i="31"/>
  <c r="H33" i="31"/>
  <c r="H34" i="31"/>
  <c r="F16" i="31"/>
  <c r="F17" i="31"/>
  <c r="F18" i="31"/>
  <c r="F19" i="31"/>
  <c r="F20" i="31"/>
  <c r="F21" i="31"/>
  <c r="F22" i="31"/>
  <c r="F23" i="31"/>
  <c r="F24" i="31"/>
  <c r="F25" i="31"/>
  <c r="F26" i="31"/>
  <c r="F27" i="31"/>
  <c r="F28" i="31"/>
  <c r="F29" i="31"/>
  <c r="F30" i="31"/>
  <c r="F31" i="31"/>
  <c r="F32" i="31"/>
  <c r="F33" i="31"/>
  <c r="F34" i="31"/>
  <c r="E16" i="31"/>
  <c r="E17" i="31"/>
  <c r="E18" i="31"/>
  <c r="E19" i="31"/>
  <c r="E20" i="31"/>
  <c r="E21" i="31"/>
  <c r="E22" i="31"/>
  <c r="E23" i="31"/>
  <c r="E24" i="31"/>
  <c r="E25" i="31"/>
  <c r="E26" i="31"/>
  <c r="E27" i="31"/>
  <c r="E28" i="31"/>
  <c r="E29" i="31"/>
  <c r="E30" i="31"/>
  <c r="E31" i="31"/>
  <c r="E32" i="31"/>
  <c r="E33" i="31"/>
  <c r="E34" i="31"/>
  <c r="D16" i="31"/>
  <c r="D17" i="31"/>
  <c r="D18" i="31"/>
  <c r="D19" i="31"/>
  <c r="D20" i="31"/>
  <c r="D21" i="31"/>
  <c r="D22" i="31"/>
  <c r="D23" i="31"/>
  <c r="D24" i="31"/>
  <c r="D25" i="31"/>
  <c r="D26" i="31"/>
  <c r="D27" i="31"/>
  <c r="D28" i="31"/>
  <c r="D29" i="31"/>
  <c r="D30" i="31"/>
  <c r="D31" i="31"/>
  <c r="D32" i="31"/>
  <c r="D33" i="31"/>
  <c r="D34" i="31"/>
  <c r="D15" i="31"/>
  <c r="E15" i="31"/>
  <c r="F15" i="31"/>
  <c r="G15" i="31"/>
  <c r="H15" i="31"/>
  <c r="I15" i="31"/>
  <c r="J15" i="31"/>
  <c r="K15" i="31"/>
  <c r="L15" i="31"/>
  <c r="M15" i="31"/>
  <c r="N15" i="31"/>
  <c r="O15" i="31"/>
  <c r="R15" i="31"/>
  <c r="S15" i="31"/>
  <c r="C16" i="31"/>
  <c r="C17" i="31"/>
  <c r="C18" i="31"/>
  <c r="C19" i="31"/>
  <c r="C20" i="31"/>
  <c r="C21" i="31"/>
  <c r="C22" i="31"/>
  <c r="C23" i="31"/>
  <c r="C24" i="31"/>
  <c r="C25" i="31"/>
  <c r="C26" i="31"/>
  <c r="C27" i="31"/>
  <c r="C28" i="31"/>
  <c r="C29" i="31"/>
  <c r="C30" i="31"/>
  <c r="C31" i="31"/>
  <c r="C32" i="31"/>
  <c r="C33" i="31"/>
  <c r="C34" i="31"/>
  <c r="C15" i="31"/>
  <c r="C35" i="32" l="1"/>
  <c r="B17" i="32"/>
  <c r="B15" i="32"/>
  <c r="B18" i="32"/>
  <c r="B22" i="32"/>
  <c r="B26" i="32"/>
  <c r="B30" i="32"/>
  <c r="B34" i="32"/>
  <c r="B33" i="32"/>
  <c r="B19" i="32"/>
  <c r="B23" i="32"/>
  <c r="B27" i="32"/>
  <c r="B31" i="32"/>
  <c r="B21" i="32"/>
  <c r="B25" i="32"/>
  <c r="B29" i="32"/>
  <c r="B16" i="32"/>
  <c r="B20" i="32"/>
  <c r="B24" i="32"/>
  <c r="B28" i="32"/>
  <c r="C35" i="31" l="1"/>
  <c r="B34" i="31"/>
  <c r="B33" i="31"/>
  <c r="B32" i="31"/>
  <c r="B31" i="31"/>
  <c r="B30" i="31"/>
  <c r="B29" i="31"/>
  <c r="B28" i="31"/>
  <c r="B27" i="31"/>
  <c r="B26" i="31"/>
  <c r="B25" i="31"/>
  <c r="B24" i="31"/>
  <c r="B23" i="31"/>
  <c r="B22" i="31"/>
  <c r="B21" i="31"/>
  <c r="B20" i="31"/>
  <c r="B19" i="31"/>
  <c r="B18" i="31"/>
  <c r="B17" i="31"/>
  <c r="B16" i="31"/>
  <c r="B15" i="31"/>
  <c r="P2" i="31"/>
  <c r="D19" i="28"/>
  <c r="B19" i="28"/>
  <c r="L16" i="28"/>
  <c r="J16" i="28"/>
  <c r="H16" i="28"/>
  <c r="F16" i="28"/>
  <c r="D16" i="28"/>
  <c r="B16" i="28"/>
  <c r="L13" i="28"/>
  <c r="J13" i="28"/>
  <c r="H13" i="28"/>
  <c r="F13" i="28"/>
  <c r="D13" i="28"/>
  <c r="B13" i="28"/>
  <c r="L10" i="28"/>
  <c r="J10" i="28"/>
  <c r="H10" i="28"/>
  <c r="F10" i="28"/>
  <c r="D10" i="28"/>
  <c r="B10" i="28"/>
  <c r="L7" i="28"/>
  <c r="J7" i="28"/>
  <c r="H7" i="28"/>
  <c r="F7" i="28"/>
  <c r="D7" i="28"/>
  <c r="B7" i="28"/>
  <c r="L4" i="28"/>
  <c r="J4" i="28"/>
  <c r="H4" i="28"/>
  <c r="F4" i="28"/>
  <c r="D4" i="28"/>
  <c r="B4" i="28"/>
  <c r="L1" i="28"/>
  <c r="J1" i="28"/>
  <c r="H1" i="28"/>
  <c r="F1" i="28"/>
  <c r="D1" i="28"/>
  <c r="B1" i="28"/>
  <c r="D30" i="30"/>
  <c r="B30" i="30"/>
  <c r="C29" i="30"/>
  <c r="P28" i="30"/>
  <c r="N28" i="30"/>
  <c r="L28" i="30"/>
  <c r="J28" i="30"/>
  <c r="H28" i="30"/>
  <c r="F28" i="30"/>
  <c r="D28" i="30"/>
  <c r="B28" i="30"/>
  <c r="O27" i="30"/>
  <c r="K27" i="30"/>
  <c r="G27" i="30"/>
  <c r="C27" i="30"/>
  <c r="P26" i="30"/>
  <c r="N26" i="30"/>
  <c r="L26" i="30"/>
  <c r="J26" i="30"/>
  <c r="H26" i="30"/>
  <c r="F26" i="30"/>
  <c r="D26" i="30"/>
  <c r="B26" i="30"/>
  <c r="O25" i="30"/>
  <c r="K25" i="30"/>
  <c r="G25" i="30"/>
  <c r="C25" i="30"/>
  <c r="P24" i="30"/>
  <c r="N24" i="30"/>
  <c r="L24" i="30"/>
  <c r="J24" i="30"/>
  <c r="H24" i="30"/>
  <c r="F24" i="30"/>
  <c r="D24" i="30"/>
  <c r="B24" i="30"/>
  <c r="O23" i="30"/>
  <c r="K23" i="30"/>
  <c r="G23" i="30"/>
  <c r="C23" i="30"/>
  <c r="P22" i="30"/>
  <c r="N22" i="30"/>
  <c r="L22" i="30"/>
  <c r="J22" i="30"/>
  <c r="H22" i="30"/>
  <c r="F22" i="30"/>
  <c r="D22" i="30"/>
  <c r="B22" i="30"/>
  <c r="O21" i="30"/>
  <c r="K21" i="30"/>
  <c r="G21" i="30"/>
  <c r="C21" i="30"/>
  <c r="P20" i="30"/>
  <c r="N20" i="30"/>
  <c r="L20" i="30"/>
  <c r="J20" i="30"/>
  <c r="H20" i="30"/>
  <c r="F20" i="30"/>
  <c r="D20" i="30"/>
  <c r="B20" i="30"/>
  <c r="O19" i="30"/>
  <c r="K19" i="30"/>
  <c r="G19" i="30"/>
  <c r="C19" i="30"/>
  <c r="P18" i="30"/>
  <c r="N18" i="30"/>
  <c r="L18" i="30"/>
  <c r="J18" i="30"/>
  <c r="H18" i="30"/>
  <c r="F18" i="30"/>
  <c r="D18" i="30"/>
  <c r="B18" i="30"/>
  <c r="O17" i="30"/>
  <c r="K17" i="30"/>
  <c r="G17" i="30"/>
  <c r="C17" i="30"/>
  <c r="P16" i="30"/>
  <c r="N16" i="30"/>
  <c r="L16" i="30"/>
  <c r="J16" i="30"/>
  <c r="H16" i="30"/>
  <c r="F16" i="30"/>
  <c r="D16" i="30"/>
  <c r="B16" i="30"/>
  <c r="O15" i="30"/>
  <c r="K15" i="30"/>
  <c r="G15" i="30"/>
  <c r="C15" i="30"/>
  <c r="P14" i="30"/>
  <c r="N14" i="30"/>
  <c r="L14" i="30"/>
  <c r="J14" i="30"/>
  <c r="H14" i="30"/>
  <c r="F14" i="30"/>
  <c r="D14" i="30"/>
  <c r="B14" i="30"/>
  <c r="O13" i="30"/>
  <c r="K13" i="30"/>
  <c r="G13" i="30"/>
  <c r="C13" i="30"/>
  <c r="P12" i="30"/>
  <c r="N12" i="30"/>
  <c r="L12" i="30"/>
  <c r="J12" i="30"/>
  <c r="H12" i="30"/>
  <c r="F12" i="30"/>
  <c r="D12" i="30"/>
  <c r="B12" i="30"/>
  <c r="O11" i="30"/>
  <c r="K11" i="30"/>
  <c r="G11" i="30"/>
  <c r="C11" i="30"/>
  <c r="P10" i="30"/>
  <c r="N10" i="30"/>
  <c r="L10" i="30"/>
  <c r="J10" i="30"/>
  <c r="H10" i="30"/>
  <c r="F10" i="30"/>
  <c r="D10" i="30"/>
  <c r="B10" i="30"/>
  <c r="O9" i="30"/>
  <c r="K9" i="30"/>
  <c r="G9" i="30"/>
  <c r="C9" i="30"/>
  <c r="P8" i="30"/>
  <c r="N8" i="30"/>
  <c r="L8" i="30"/>
  <c r="J8" i="30"/>
  <c r="H8" i="30"/>
  <c r="F8" i="30"/>
  <c r="D8" i="30"/>
  <c r="B8" i="30"/>
  <c r="O7" i="30"/>
  <c r="K7" i="30"/>
  <c r="G7" i="30"/>
  <c r="C7" i="30"/>
  <c r="P6" i="30"/>
  <c r="N6" i="30"/>
  <c r="L6" i="30"/>
  <c r="J6" i="30"/>
  <c r="H6" i="30"/>
  <c r="F6" i="30"/>
  <c r="D6" i="30"/>
  <c r="B6" i="30"/>
  <c r="O5" i="30"/>
  <c r="K5" i="30"/>
  <c r="G5" i="30"/>
  <c r="C5" i="30"/>
  <c r="P4" i="30"/>
  <c r="N4" i="30"/>
  <c r="L4" i="30"/>
  <c r="J4" i="30"/>
  <c r="H4" i="30"/>
  <c r="F4" i="30"/>
  <c r="D4" i="30"/>
  <c r="B4" i="30"/>
  <c r="O3" i="30"/>
  <c r="K3" i="30"/>
  <c r="G3" i="30"/>
  <c r="C3" i="30"/>
  <c r="P2" i="30"/>
  <c r="N2" i="30"/>
  <c r="L2" i="30"/>
  <c r="J2" i="30"/>
  <c r="H2" i="30"/>
  <c r="F2" i="30"/>
  <c r="D2" i="30"/>
  <c r="B2" i="30"/>
  <c r="O1" i="30"/>
  <c r="K1" i="30"/>
  <c r="G1" i="30"/>
  <c r="C1" i="30"/>
  <c r="C20" i="28" l="1"/>
  <c r="C17" i="28"/>
  <c r="C14" i="28"/>
  <c r="C11" i="28"/>
  <c r="C8" i="28"/>
  <c r="C5" i="28"/>
  <c r="C2" i="28"/>
  <c r="K17" i="28"/>
  <c r="K14" i="28"/>
  <c r="K11" i="28"/>
  <c r="K8" i="28"/>
  <c r="K5" i="28"/>
  <c r="K2" i="28"/>
  <c r="G17" i="28"/>
  <c r="G14" i="28"/>
  <c r="G11" i="28"/>
  <c r="G8" i="28"/>
  <c r="G5" i="28"/>
  <c r="G2" i="28"/>
  <c r="Q15" i="1" l="1"/>
  <c r="Q16" i="1"/>
  <c r="Q17" i="1"/>
  <c r="Q18" i="1"/>
  <c r="Q19" i="1"/>
  <c r="Q20" i="1"/>
  <c r="Q21" i="1"/>
  <c r="P21" i="1" s="1"/>
  <c r="Q22" i="1"/>
  <c r="P22" i="1" s="1"/>
  <c r="Q23" i="1"/>
  <c r="P23" i="1" s="1"/>
  <c r="Q24" i="1"/>
  <c r="P24" i="1" s="1"/>
  <c r="Q25" i="1"/>
  <c r="P25" i="1" s="1"/>
  <c r="Q26" i="1"/>
  <c r="P26" i="1" s="1"/>
  <c r="Q27" i="1"/>
  <c r="P27" i="1" s="1"/>
  <c r="Q28" i="1"/>
  <c r="P28" i="1" s="1"/>
  <c r="Q29" i="1"/>
  <c r="P29" i="1" s="1"/>
  <c r="Q30" i="1"/>
  <c r="P30" i="1" s="1"/>
  <c r="Q31" i="1"/>
  <c r="P31" i="1" s="1"/>
  <c r="Q32" i="1"/>
  <c r="P32" i="1" s="1"/>
  <c r="Q33" i="1"/>
  <c r="P33" i="1" s="1"/>
  <c r="Q34" i="1"/>
  <c r="P34" i="1" s="1"/>
  <c r="Q20" i="31" l="1"/>
  <c r="Q20" i="32"/>
  <c r="Q19" i="31"/>
  <c r="Q19" i="32"/>
  <c r="Q18" i="31"/>
  <c r="Q18" i="32"/>
  <c r="Q17" i="31"/>
  <c r="Q17" i="32"/>
  <c r="Q16" i="32"/>
  <c r="Q16" i="31"/>
  <c r="Q15" i="31"/>
  <c r="Q15" i="32"/>
  <c r="BD55" i="27"/>
  <c r="AN55" i="27"/>
  <c r="X55" i="27"/>
  <c r="H55" i="27"/>
  <c r="BD43" i="27"/>
  <c r="AN43" i="27"/>
  <c r="X43" i="27"/>
  <c r="H43" i="27"/>
  <c r="BD31" i="27"/>
  <c r="AN31" i="27"/>
  <c r="X31" i="27"/>
  <c r="H31" i="27"/>
  <c r="BD19" i="27"/>
  <c r="AN19" i="27"/>
  <c r="X19" i="27"/>
  <c r="H19" i="27"/>
  <c r="BD7" i="27"/>
  <c r="AN7" i="27"/>
  <c r="X7" i="27"/>
  <c r="H7" i="27"/>
  <c r="BG54" i="27"/>
  <c r="AZ54" i="27"/>
  <c r="AQ54" i="27"/>
  <c r="AJ54" i="27"/>
  <c r="AA54" i="27"/>
  <c r="T54" i="27"/>
  <c r="K54" i="27"/>
  <c r="D54" i="27"/>
  <c r="BG53" i="27"/>
  <c r="AZ53" i="27"/>
  <c r="AQ53" i="27"/>
  <c r="AJ53" i="27"/>
  <c r="AA53" i="27"/>
  <c r="T53" i="27"/>
  <c r="K53" i="27"/>
  <c r="D53" i="27"/>
  <c r="BG52" i="27"/>
  <c r="AZ52" i="27"/>
  <c r="AQ52" i="27"/>
  <c r="AJ52" i="27"/>
  <c r="AA52" i="27"/>
  <c r="T52" i="27"/>
  <c r="K52" i="27"/>
  <c r="D52" i="27"/>
  <c r="BG42" i="27"/>
  <c r="AZ42" i="27"/>
  <c r="AQ42" i="27"/>
  <c r="AJ42" i="27"/>
  <c r="AA42" i="27"/>
  <c r="T42" i="27"/>
  <c r="K42" i="27"/>
  <c r="D42" i="27"/>
  <c r="BG41" i="27"/>
  <c r="AZ41" i="27"/>
  <c r="AQ41" i="27"/>
  <c r="AJ41" i="27"/>
  <c r="AA41" i="27"/>
  <c r="T41" i="27"/>
  <c r="K41" i="27"/>
  <c r="D41" i="27"/>
  <c r="BG40" i="27"/>
  <c r="AZ40" i="27"/>
  <c r="AQ40" i="27"/>
  <c r="AJ40" i="27"/>
  <c r="AA40" i="27"/>
  <c r="T40" i="27"/>
  <c r="K40" i="27"/>
  <c r="D40" i="27"/>
  <c r="BG30" i="27"/>
  <c r="AZ30" i="27"/>
  <c r="AQ30" i="27"/>
  <c r="AJ30" i="27"/>
  <c r="AA30" i="27"/>
  <c r="T30" i="27"/>
  <c r="K30" i="27"/>
  <c r="D30" i="27"/>
  <c r="BG29" i="27"/>
  <c r="AZ29" i="27"/>
  <c r="AQ29" i="27"/>
  <c r="AJ29" i="27"/>
  <c r="AA29" i="27"/>
  <c r="T29" i="27"/>
  <c r="K29" i="27"/>
  <c r="D29" i="27"/>
  <c r="BG28" i="27"/>
  <c r="AZ28" i="27"/>
  <c r="AQ28" i="27"/>
  <c r="AJ28" i="27"/>
  <c r="AA28" i="27"/>
  <c r="T28" i="27"/>
  <c r="K28" i="27"/>
  <c r="D28" i="27"/>
  <c r="BG18" i="27"/>
  <c r="AZ18" i="27"/>
  <c r="AQ18" i="27"/>
  <c r="AJ18" i="27"/>
  <c r="AA18" i="27"/>
  <c r="T18" i="27"/>
  <c r="K18" i="27"/>
  <c r="D18" i="27"/>
  <c r="BG17" i="27"/>
  <c r="AZ17" i="27"/>
  <c r="AQ17" i="27"/>
  <c r="AJ17" i="27"/>
  <c r="AA17" i="27"/>
  <c r="T17" i="27"/>
  <c r="K17" i="27"/>
  <c r="D17" i="27"/>
  <c r="BG16" i="27"/>
  <c r="AZ16" i="27"/>
  <c r="AQ16" i="27"/>
  <c r="AJ16" i="27"/>
  <c r="AA16" i="27"/>
  <c r="T16" i="27"/>
  <c r="K16" i="27"/>
  <c r="D16" i="27"/>
  <c r="BG6" i="27"/>
  <c r="AZ6" i="27"/>
  <c r="AQ6" i="27"/>
  <c r="AJ6" i="27"/>
  <c r="AA6" i="27"/>
  <c r="T6" i="27"/>
  <c r="K6" i="27"/>
  <c r="D6" i="27"/>
  <c r="BG5" i="27"/>
  <c r="AZ5" i="27"/>
  <c r="AQ5" i="27"/>
  <c r="AJ5" i="27"/>
  <c r="AA5" i="27"/>
  <c r="T5" i="27"/>
  <c r="K5" i="27"/>
  <c r="D5" i="27"/>
  <c r="BG4" i="27"/>
  <c r="AZ4" i="27"/>
  <c r="AQ4" i="27"/>
  <c r="AJ4" i="27"/>
  <c r="AA4" i="27"/>
  <c r="T4" i="27"/>
  <c r="K4" i="27"/>
  <c r="D4" i="27"/>
  <c r="AJ16" i="1"/>
  <c r="AK16" i="1"/>
  <c r="AJ17" i="1"/>
  <c r="AK17" i="1"/>
  <c r="AJ18" i="1"/>
  <c r="AK18" i="1"/>
  <c r="AJ19" i="1"/>
  <c r="AK19" i="1"/>
  <c r="AJ20" i="1"/>
  <c r="AK20" i="1"/>
  <c r="AJ21" i="1"/>
  <c r="AK21" i="1"/>
  <c r="AJ22" i="1"/>
  <c r="AK22" i="1"/>
  <c r="AJ23" i="1"/>
  <c r="AK23" i="1"/>
  <c r="AJ24" i="1"/>
  <c r="AK24" i="1"/>
  <c r="AJ25" i="1"/>
  <c r="AK25" i="1"/>
  <c r="AJ26" i="1"/>
  <c r="AK26" i="1"/>
  <c r="AJ27" i="1"/>
  <c r="AK27" i="1"/>
  <c r="AJ28" i="1"/>
  <c r="AK28" i="1"/>
  <c r="AJ29" i="1"/>
  <c r="AK29" i="1"/>
  <c r="AJ30" i="1"/>
  <c r="AK30" i="1"/>
  <c r="AJ31" i="1"/>
  <c r="AK31" i="1"/>
  <c r="AJ32" i="1"/>
  <c r="AK32" i="1"/>
  <c r="AJ33" i="1"/>
  <c r="AK33" i="1"/>
  <c r="AJ34" i="1"/>
  <c r="AK34" i="1"/>
  <c r="AK15" i="1"/>
  <c r="AJ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15" i="1"/>
  <c r="P20" i="32" l="1"/>
  <c r="P20" i="31"/>
  <c r="P19" i="31"/>
  <c r="P19" i="32"/>
  <c r="P16" i="32"/>
  <c r="P16" i="31"/>
  <c r="P15" i="32"/>
  <c r="P15" i="31"/>
  <c r="D36" i="5"/>
  <c r="AH16" i="1"/>
  <c r="AL16" i="1" s="1"/>
  <c r="AH17" i="1"/>
  <c r="AL17" i="1" s="1"/>
  <c r="AH18" i="1"/>
  <c r="AL18" i="1" s="1"/>
  <c r="AH19" i="1"/>
  <c r="AL19" i="1" s="1"/>
  <c r="AH20" i="1"/>
  <c r="AL20" i="1" s="1"/>
  <c r="AH21" i="1"/>
  <c r="AL21" i="1" s="1"/>
  <c r="AH22" i="1"/>
  <c r="AL22" i="1" s="1"/>
  <c r="AH23" i="1"/>
  <c r="AL23" i="1" s="1"/>
  <c r="AH24" i="1"/>
  <c r="AL24" i="1" s="1"/>
  <c r="AH25" i="1"/>
  <c r="AL25" i="1" s="1"/>
  <c r="AH26" i="1"/>
  <c r="AL26" i="1" s="1"/>
  <c r="AH27" i="1"/>
  <c r="AL27" i="1" s="1"/>
  <c r="AH28" i="1"/>
  <c r="AL28" i="1" s="1"/>
  <c r="AH29" i="1"/>
  <c r="AL29" i="1" s="1"/>
  <c r="AH30" i="1"/>
  <c r="AL30" i="1" s="1"/>
  <c r="AH31" i="1"/>
  <c r="AL31" i="1" s="1"/>
  <c r="AH32" i="1"/>
  <c r="AL32" i="1" s="1"/>
  <c r="AH33" i="1"/>
  <c r="AL33" i="1" s="1"/>
  <c r="AH34" i="1"/>
  <c r="AL34" i="1" s="1"/>
  <c r="AH15" i="1"/>
  <c r="AL15" i="1" s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23" i="11"/>
  <c r="B21" i="11"/>
  <c r="B20" i="11"/>
  <c r="B19" i="11"/>
  <c r="B17" i="11"/>
  <c r="B15" i="11"/>
  <c r="B14" i="11"/>
  <c r="B13" i="1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15" i="1"/>
  <c r="L3" i="28" l="1"/>
  <c r="J3" i="30"/>
  <c r="N3" i="30"/>
  <c r="B5" i="30"/>
  <c r="D9" i="28"/>
  <c r="N9" i="30"/>
  <c r="B11" i="30"/>
  <c r="J9" i="30"/>
  <c r="H12" i="28"/>
  <c r="B17" i="30"/>
  <c r="N15" i="30"/>
  <c r="J15" i="30"/>
  <c r="L15" i="28"/>
  <c r="B23" i="30"/>
  <c r="J21" i="30"/>
  <c r="N21" i="30"/>
  <c r="D21" i="28"/>
  <c r="J27" i="30"/>
  <c r="N27" i="30"/>
  <c r="B29" i="30"/>
  <c r="D6" i="28"/>
  <c r="J5" i="30"/>
  <c r="N5" i="30"/>
  <c r="F5" i="30"/>
  <c r="H9" i="28"/>
  <c r="N11" i="30"/>
  <c r="F11" i="30"/>
  <c r="J11" i="30"/>
  <c r="L12" i="28"/>
  <c r="N17" i="30"/>
  <c r="F17" i="30"/>
  <c r="J17" i="30"/>
  <c r="D18" i="28"/>
  <c r="N23" i="30"/>
  <c r="F23" i="30"/>
  <c r="J23" i="30"/>
  <c r="D3" i="28"/>
  <c r="B1" i="30"/>
  <c r="F1" i="30"/>
  <c r="J1" i="30"/>
  <c r="H6" i="28"/>
  <c r="J7" i="30"/>
  <c r="F7" i="30"/>
  <c r="B7" i="30"/>
  <c r="L9" i="28"/>
  <c r="J13" i="30"/>
  <c r="F13" i="30"/>
  <c r="B13" i="30"/>
  <c r="D15" i="28"/>
  <c r="F19" i="30"/>
  <c r="J19" i="30"/>
  <c r="B19" i="30"/>
  <c r="H18" i="28"/>
  <c r="J25" i="30"/>
  <c r="F25" i="30"/>
  <c r="B25" i="30"/>
  <c r="H3" i="28"/>
  <c r="N1" i="30"/>
  <c r="F3" i="30"/>
  <c r="B3" i="30"/>
  <c r="L6" i="28"/>
  <c r="B9" i="30"/>
  <c r="F9" i="30"/>
  <c r="N7" i="30"/>
  <c r="D12" i="28"/>
  <c r="B15" i="30"/>
  <c r="F15" i="30"/>
  <c r="N13" i="30"/>
  <c r="H15" i="28"/>
  <c r="F21" i="30"/>
  <c r="N19" i="30"/>
  <c r="B21" i="30"/>
  <c r="L18" i="28"/>
  <c r="B27" i="30"/>
  <c r="F27" i="30"/>
  <c r="N25" i="30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15" i="1"/>
  <c r="S44" i="27" a="1"/>
  <c r="BC23" i="27" a="1"/>
  <c r="W22" i="27" a="1"/>
  <c r="W48" i="27" a="1"/>
  <c r="F44" i="27" a="1"/>
  <c r="S59" i="27" a="1"/>
  <c r="BD8" i="27" a="1"/>
  <c r="BB8" i="27" a="1"/>
  <c r="AJ7" i="27" a="1"/>
  <c r="G22" i="27" a="1"/>
  <c r="W59" i="27" a="1"/>
  <c r="H52" i="27" a="1"/>
  <c r="T44" i="27" a="1"/>
  <c r="G60" i="27" a="1"/>
  <c r="AI20" i="27" a="1"/>
  <c r="BC60" i="27" a="1"/>
  <c r="T43" i="27" a="1"/>
  <c r="H32" i="27" a="1"/>
  <c r="W34" i="27" a="1"/>
  <c r="G24" i="27" a="1"/>
  <c r="BC22" i="27" a="1"/>
  <c r="BC24" i="27" a="1"/>
  <c r="AN8" i="27" a="1"/>
  <c r="C59" i="27" a="1"/>
  <c r="T55" i="27" a="1"/>
  <c r="W12" i="27" a="1"/>
  <c r="S20" i="27" a="1"/>
  <c r="G35" i="27" a="1"/>
  <c r="X16" i="27" a="1"/>
  <c r="T7" i="27" a="1"/>
  <c r="W23" i="27" a="1"/>
  <c r="C20" i="27" a="1"/>
  <c r="D43" i="27" a="1"/>
  <c r="AZ34" i="27" a="1"/>
  <c r="AI32" i="27" a="1"/>
  <c r="X44" i="27" a="1"/>
  <c r="C47" i="27" a="1"/>
  <c r="BC48" i="27" a="1"/>
  <c r="AL33" i="27" a="1"/>
  <c r="AL8" i="27" a="1"/>
  <c r="AL56" i="27" a="1"/>
  <c r="D34" i="27" a="1"/>
  <c r="BC12" i="27" a="1"/>
  <c r="H4" i="27" a="1"/>
  <c r="C44" i="27" a="1"/>
  <c r="F56" i="27" a="1"/>
  <c r="AJ45" i="27" a="1"/>
  <c r="W11" i="27" a="1"/>
  <c r="AM36" i="27" a="1"/>
  <c r="AM61" i="27" a="1"/>
  <c r="AI47" i="27" a="1"/>
  <c r="T45" i="27" a="1"/>
  <c r="H16" i="27" a="1"/>
  <c r="X56" i="27" a="1"/>
  <c r="G12" i="27" a="1"/>
  <c r="X28" i="27" a="1"/>
  <c r="AJ33" i="27" a="1"/>
  <c r="AM11" i="27" a="1"/>
  <c r="BC11" i="27" a="1"/>
  <c r="C11" i="27" a="1"/>
  <c r="AN20" i="27" a="1"/>
  <c r="BC34" i="27" a="1"/>
  <c r="AI44" i="27" a="1"/>
  <c r="T9" i="27" a="1"/>
  <c r="AI8" i="27" a="1"/>
  <c r="AJ58" i="27" a="1"/>
  <c r="AZ22" i="27" a="1"/>
  <c r="D31" i="27" a="1"/>
  <c r="W25" i="27" a="1"/>
  <c r="F9" i="27" a="1"/>
  <c r="AJ44" i="27" a="1"/>
  <c r="BC46" i="27" a="1"/>
  <c r="AZ7" i="27" a="1"/>
  <c r="T56" i="27" a="1"/>
  <c r="BB56" i="27" a="1"/>
  <c r="W35" i="27" a="1"/>
  <c r="W37" i="27" a="1"/>
  <c r="AY23" i="27" a="1"/>
  <c r="F32" i="27" a="1"/>
  <c r="AL20" i="27" a="1"/>
  <c r="W47" i="27" a="1"/>
  <c r="AM34" i="27" a="1"/>
  <c r="T19" i="27" a="1"/>
  <c r="AZ57" i="27" a="1"/>
  <c r="AZ19" i="27" a="1"/>
  <c r="BB33" i="27" a="1"/>
  <c r="T31" i="27" a="1"/>
  <c r="S11" i="27" a="1"/>
  <c r="AJ57" i="27" a="1"/>
  <c r="BC59" i="27" a="1"/>
  <c r="AJ20" i="27" a="1"/>
  <c r="T32" i="27" a="1"/>
  <c r="V33" i="27" a="1"/>
  <c r="W58" i="27" a="1"/>
  <c r="G25" i="27" a="1"/>
  <c r="AZ43" i="27" a="1"/>
  <c r="T22" i="27" a="1"/>
  <c r="AN16" i="27" a="1"/>
  <c r="AI23" i="27" a="1"/>
  <c r="D45" i="27" a="1"/>
  <c r="X52" i="27" a="1"/>
  <c r="AL9" i="27" a="1"/>
  <c r="S8" i="27" a="1"/>
  <c r="AN32" i="27" a="1"/>
  <c r="AY44" i="27" a="1"/>
  <c r="AJ8" i="27" a="1"/>
  <c r="D56" i="27" a="1"/>
  <c r="H44" i="27" a="1"/>
  <c r="AZ58" i="27" a="1"/>
  <c r="D8" i="27" a="1"/>
  <c r="H56" i="27" a="1"/>
  <c r="AZ44" i="27" a="1"/>
  <c r="G58" i="27" a="1"/>
  <c r="AY47" i="27" a="1"/>
  <c r="D32" i="27" a="1"/>
  <c r="S32" i="27" a="1"/>
  <c r="W60" i="27" a="1"/>
  <c r="AI11" i="27" a="1"/>
  <c r="BC36" i="27" a="1"/>
  <c r="BD44" i="27" a="1"/>
  <c r="V9" i="27" a="1"/>
  <c r="C8" i="27" a="1"/>
  <c r="BC47" i="27" a="1"/>
  <c r="AZ9" i="27" a="1"/>
  <c r="T20" i="27" a="1"/>
  <c r="AZ8" i="27" a="1"/>
  <c r="G47" i="27" a="1"/>
  <c r="BB44" i="27" a="1"/>
  <c r="D44" i="27" a="1"/>
  <c r="G37" i="27" a="1"/>
  <c r="AJ9" i="27" a="1"/>
  <c r="BD32" i="27" a="1"/>
  <c r="AJ21" i="27" a="1"/>
  <c r="BD20" i="27" a="1"/>
  <c r="T34" i="27" a="1"/>
  <c r="V20" i="27" a="1"/>
  <c r="G49" i="27" a="1"/>
  <c r="AM46" i="27" a="1"/>
  <c r="AM10" i="27" a="1"/>
  <c r="AJ56" i="27" a="1"/>
  <c r="AM48" i="27" a="1"/>
  <c r="W36" i="27" a="1"/>
  <c r="AM58" i="27" a="1"/>
  <c r="AI59" i="27" a="1"/>
  <c r="AN4" i="27" a="1"/>
  <c r="T57" i="27" a="1"/>
  <c r="X32" i="27" a="1"/>
  <c r="S35" i="27" a="1"/>
  <c r="BD52" i="27" a="1"/>
  <c r="W46" i="27" a="1"/>
  <c r="D20" i="27" a="1"/>
  <c r="AN40" i="27" a="1"/>
  <c r="D21" i="27" a="1"/>
  <c r="D10" i="27" a="1"/>
  <c r="D55" i="27" a="1"/>
  <c r="AN56" i="27" a="1"/>
  <c r="AY59" i="27" a="1"/>
  <c r="E33" i="27" a="1"/>
  <c r="BB9" i="27" a="1"/>
  <c r="BC49" i="27" a="1"/>
  <c r="AM22" i="27" a="1"/>
  <c r="D9" i="27" a="1"/>
  <c r="AI35" i="27" a="1"/>
  <c r="G61" i="27" a="1"/>
  <c r="X40" i="27" a="1"/>
  <c r="AM59" i="27" a="1"/>
  <c r="AL44" i="27" a="1"/>
  <c r="AM60" i="27" a="1"/>
  <c r="H20" i="27" a="1"/>
  <c r="BC35" i="27" a="1"/>
  <c r="AZ20" i="27" a="1"/>
  <c r="BA9" i="27" a="1"/>
  <c r="V32" i="27" a="1"/>
  <c r="U9" i="27" a="1"/>
  <c r="BD56" i="27" a="1"/>
  <c r="AZ33" i="27" a="1"/>
  <c r="W13" i="27" a="1"/>
  <c r="AM37" i="27" a="1"/>
  <c r="G59" i="27" a="1"/>
  <c r="W24" i="27" a="1"/>
  <c r="S23" i="27" a="1"/>
  <c r="C32" i="27" a="1"/>
  <c r="T33" i="27" a="1"/>
  <c r="X8" i="27" a="1"/>
  <c r="AZ10" i="27" a="1"/>
  <c r="AN28" i="27" a="1"/>
  <c r="H40" i="27" a="1"/>
  <c r="BC13" i="27" a="1"/>
  <c r="AZ32" i="27" a="1"/>
  <c r="AZ31" i="27" a="1"/>
  <c r="BC10" i="27" a="1"/>
  <c r="AL32" i="27" a="1"/>
  <c r="AY8" i="27" a="1"/>
  <c r="G11" i="27" a="1"/>
  <c r="W10" i="27" a="1"/>
  <c r="AY32" i="27" a="1"/>
  <c r="AJ32" i="27" a="1"/>
  <c r="U33" i="27" a="1"/>
  <c r="V56" i="27" a="1"/>
  <c r="G36" i="27" a="1"/>
  <c r="BB32" i="27" a="1"/>
  <c r="T10" i="27" a="1"/>
  <c r="T46" i="27" a="1"/>
  <c r="AM24" i="27" a="1"/>
  <c r="D57" i="27" a="1"/>
  <c r="H5" i="27" a="1"/>
  <c r="C35" i="27" a="1"/>
  <c r="AZ56" i="27" a="1"/>
  <c r="H28" i="27" a="1"/>
  <c r="BD40" i="27" a="1"/>
  <c r="G10" i="27" a="1"/>
  <c r="AM13" i="27" a="1"/>
  <c r="G46" i="27" a="1"/>
  <c r="AJ34" i="27" a="1"/>
  <c r="H8" i="27" a="1"/>
  <c r="AM49" i="27" a="1"/>
  <c r="D22" i="27" a="1"/>
  <c r="H11" i="27" a="1"/>
  <c r="G23" i="27" a="1"/>
  <c r="D33" i="27" a="1"/>
  <c r="S56" i="27" a="1"/>
  <c r="AJ19" i="27" a="1"/>
  <c r="E9" i="27" a="1"/>
  <c r="BC58" i="27" a="1"/>
  <c r="AZ45" i="27" a="1"/>
  <c r="D58" i="27" a="1"/>
  <c r="AI56" i="27" a="1"/>
  <c r="AN52" i="27" a="1"/>
  <c r="W61" i="27" a="1"/>
  <c r="F33" i="27" a="1"/>
  <c r="AY11" i="27" a="1"/>
  <c r="BA33" i="27" a="1"/>
  <c r="V44" i="27" a="1"/>
  <c r="D46" i="27" a="1"/>
  <c r="AY20" i="27" a="1"/>
  <c r="C56" i="27" a="1"/>
  <c r="AM12" i="27" a="1"/>
  <c r="AK33" i="27" a="1"/>
  <c r="V8" i="27" a="1"/>
  <c r="AZ55" i="27" a="1"/>
  <c r="F8" i="27" a="1"/>
  <c r="AZ21" i="27" a="1"/>
  <c r="D19" i="27" a="1"/>
  <c r="W49" i="27" a="1"/>
  <c r="X20" i="27" a="1"/>
  <c r="BD4" i="27" a="1"/>
  <c r="G48" i="27" a="1"/>
  <c r="BB20" i="27" a="1"/>
  <c r="G34" i="27" a="1"/>
  <c r="AM25" i="27" a="1"/>
  <c r="AM35" i="27" a="1"/>
  <c r="BC61" i="27" a="1"/>
  <c r="AN44" i="27" a="1"/>
  <c r="AJ10" i="27" a="1"/>
  <c r="BD28" i="27" a="1"/>
  <c r="C23" i="27" a="1"/>
  <c r="AJ31" i="27" a="1"/>
  <c r="AM47" i="27" a="1"/>
  <c r="AJ55" i="27" a="1"/>
  <c r="AM23" i="27" a="1"/>
  <c r="T58" i="27" a="1"/>
  <c r="D7" i="27" a="1"/>
  <c r="T21" i="27" a="1"/>
  <c r="T8" i="27" a="1"/>
  <c r="AY35" i="27" a="1"/>
  <c r="BC25" i="27" a="1"/>
  <c r="S47" i="27" a="1"/>
  <c r="AZ46" i="27" a="1"/>
  <c r="G13" i="27" a="1"/>
  <c r="BC37" i="27" a="1"/>
  <c r="AJ46" i="27" a="1"/>
  <c r="AY56" i="27" a="1"/>
  <c r="BD16" i="27" a="1"/>
  <c r="AK9" i="27" a="1"/>
  <c r="F20" i="27" a="1"/>
  <c r="AJ22" i="27" a="1"/>
  <c r="AJ43" i="27" a="1"/>
  <c r="X4" i="27" a="1"/>
  <c r="X4" i="27" l="1"/>
  <c r="AE4" i="27" s="1"/>
  <c r="AJ43" i="27"/>
  <c r="AQ43" i="27" s="1"/>
  <c r="AJ22" i="27"/>
  <c r="F20" i="27"/>
  <c r="M21" i="27" s="1"/>
  <c r="AK9" i="27"/>
  <c r="BD16" i="27"/>
  <c r="BK16" i="27" s="1"/>
  <c r="AY56" i="27"/>
  <c r="BJ62" i="27" s="1"/>
  <c r="AJ46" i="27"/>
  <c r="BC37" i="27"/>
  <c r="G13" i="27"/>
  <c r="AZ46" i="27"/>
  <c r="S47" i="27"/>
  <c r="BC25" i="27"/>
  <c r="AY35" i="27"/>
  <c r="T8" i="27"/>
  <c r="AA9" i="27" s="1"/>
  <c r="T21" i="27"/>
  <c r="D7" i="27"/>
  <c r="K7" i="27" s="1"/>
  <c r="T58" i="27"/>
  <c r="AM23" i="27"/>
  <c r="AJ55" i="27"/>
  <c r="AQ55" i="27" s="1"/>
  <c r="AM47" i="27"/>
  <c r="AJ31" i="27"/>
  <c r="AQ31" i="27" s="1"/>
  <c r="C23" i="27"/>
  <c r="BD28" i="27"/>
  <c r="BK28" i="27" s="1"/>
  <c r="AJ10" i="27"/>
  <c r="AN44" i="27"/>
  <c r="BC61" i="27"/>
  <c r="AM35" i="27"/>
  <c r="AM25" i="27"/>
  <c r="G34" i="27"/>
  <c r="BB20" i="27"/>
  <c r="AZ25" i="27" s="1"/>
  <c r="BG25" i="27" s="1"/>
  <c r="G48" i="27"/>
  <c r="BD4" i="27"/>
  <c r="BK4" i="27" s="1"/>
  <c r="X20" i="27"/>
  <c r="W49" i="27"/>
  <c r="D19" i="27"/>
  <c r="K19" i="27" s="1"/>
  <c r="AZ21" i="27"/>
  <c r="F8" i="27"/>
  <c r="M9" i="27" s="1"/>
  <c r="AZ55" i="27"/>
  <c r="BG55" i="27" s="1"/>
  <c r="V8" i="27"/>
  <c r="T13" i="27" s="1"/>
  <c r="AA13" i="27" s="1"/>
  <c r="AK33" i="27"/>
  <c r="AM12" i="27"/>
  <c r="C56" i="27"/>
  <c r="N62" i="27" s="1"/>
  <c r="AY20" i="27"/>
  <c r="BJ26" i="27" s="1"/>
  <c r="D46" i="27"/>
  <c r="V44" i="27"/>
  <c r="AC45" i="27" s="1"/>
  <c r="BA33" i="27"/>
  <c r="AY11" i="27"/>
  <c r="F33" i="27"/>
  <c r="W61" i="27"/>
  <c r="AN52" i="27"/>
  <c r="AU52" i="27" s="1"/>
  <c r="AI56" i="27"/>
  <c r="AT62" i="27" s="1"/>
  <c r="D58" i="27"/>
  <c r="AZ45" i="27"/>
  <c r="BC58" i="27"/>
  <c r="E9" i="27"/>
  <c r="AJ19" i="27"/>
  <c r="AQ19" i="27" s="1"/>
  <c r="S56" i="27"/>
  <c r="AD62" i="27" s="1"/>
  <c r="D33" i="27"/>
  <c r="G23" i="27"/>
  <c r="H11" i="27"/>
  <c r="D22" i="27"/>
  <c r="AM49" i="27"/>
  <c r="H8" i="27"/>
  <c r="AJ34" i="27"/>
  <c r="G46" i="27"/>
  <c r="AM13" i="27"/>
  <c r="G10" i="27"/>
  <c r="BD40" i="27"/>
  <c r="BK40" i="27" s="1"/>
  <c r="H28" i="27"/>
  <c r="O28" i="27" s="1"/>
  <c r="AZ56" i="27"/>
  <c r="C35" i="27"/>
  <c r="H5" i="27"/>
  <c r="D57" i="27"/>
  <c r="AM24" i="27"/>
  <c r="T46" i="27"/>
  <c r="T10" i="27"/>
  <c r="BB32" i="27"/>
  <c r="AZ37" i="27" s="1"/>
  <c r="BG37" i="27" s="1"/>
  <c r="G36" i="27"/>
  <c r="V56" i="27"/>
  <c r="AC57" i="27" s="1"/>
  <c r="U33" i="27"/>
  <c r="AJ32" i="27"/>
  <c r="AY32" i="27"/>
  <c r="BJ38" i="27" s="1"/>
  <c r="W10" i="27"/>
  <c r="G11" i="27"/>
  <c r="AY8" i="27"/>
  <c r="BJ14" i="27" s="1"/>
  <c r="AL32" i="27"/>
  <c r="AJ37" i="27" s="1"/>
  <c r="AQ37" i="27" s="1"/>
  <c r="BC10" i="27"/>
  <c r="AZ31" i="27"/>
  <c r="BG31" i="27" s="1"/>
  <c r="AZ32" i="27"/>
  <c r="BG33" i="27" s="1"/>
  <c r="BC13" i="27"/>
  <c r="H40" i="27"/>
  <c r="O40" i="27" s="1"/>
  <c r="AN28" i="27"/>
  <c r="AU28" i="27" s="1"/>
  <c r="AZ10" i="27"/>
  <c r="X8" i="27"/>
  <c r="T33" i="27"/>
  <c r="C32" i="27"/>
  <c r="N38" i="27" s="1"/>
  <c r="S23" i="27"/>
  <c r="W24" i="27"/>
  <c r="G59" i="27"/>
  <c r="AM37" i="27"/>
  <c r="W13" i="27"/>
  <c r="AZ33" i="27"/>
  <c r="BD56" i="27"/>
  <c r="U9" i="27"/>
  <c r="V32" i="27"/>
  <c r="T37" i="27" s="1"/>
  <c r="AA37" i="27" s="1"/>
  <c r="BA9" i="27"/>
  <c r="AZ20" i="27"/>
  <c r="BG21" i="27" s="1"/>
  <c r="BC35" i="27"/>
  <c r="H20" i="27"/>
  <c r="AM60" i="27"/>
  <c r="AL44" i="27"/>
  <c r="AS45" i="27" s="1"/>
  <c r="AM59" i="27"/>
  <c r="X40" i="27"/>
  <c r="AE40" i="27" s="1"/>
  <c r="G61" i="27"/>
  <c r="AI35" i="27"/>
  <c r="D9" i="27"/>
  <c r="AM22" i="27"/>
  <c r="BC49" i="27"/>
  <c r="BB9" i="27"/>
  <c r="E33" i="27"/>
  <c r="AY59" i="27"/>
  <c r="AN56" i="27"/>
  <c r="D55" i="27"/>
  <c r="K55" i="27" s="1"/>
  <c r="D10" i="27"/>
  <c r="D21" i="27"/>
  <c r="AN40" i="27"/>
  <c r="AU40" i="27" s="1"/>
  <c r="D20" i="27"/>
  <c r="K21" i="27" s="1"/>
  <c r="W46" i="27"/>
  <c r="BD52" i="27"/>
  <c r="BK52" i="27" s="1"/>
  <c r="S35" i="27"/>
  <c r="X32" i="27"/>
  <c r="T57" i="27"/>
  <c r="AN4" i="27"/>
  <c r="AU4" i="27" s="1"/>
  <c r="AI59" i="27"/>
  <c r="AM58" i="27"/>
  <c r="W36" i="27"/>
  <c r="AM48" i="27"/>
  <c r="AJ56" i="27"/>
  <c r="AQ57" i="27" s="1"/>
  <c r="AM10" i="27"/>
  <c r="AM46" i="27"/>
  <c r="G49" i="27"/>
  <c r="V20" i="27"/>
  <c r="AC21" i="27" s="1"/>
  <c r="T34" i="27"/>
  <c r="BD20" i="27"/>
  <c r="AJ21" i="27"/>
  <c r="BD32" i="27"/>
  <c r="AJ9" i="27"/>
  <c r="G37" i="27"/>
  <c r="D44" i="27"/>
  <c r="BB44" i="27"/>
  <c r="AZ49" i="27" s="1"/>
  <c r="BG49" i="27" s="1"/>
  <c r="G47" i="27"/>
  <c r="AZ8" i="27"/>
  <c r="T20" i="27"/>
  <c r="AA21" i="27" s="1"/>
  <c r="AZ9" i="27"/>
  <c r="BC47" i="27"/>
  <c r="C8" i="27"/>
  <c r="N14" i="27" s="1"/>
  <c r="V9" i="27"/>
  <c r="BD44" i="27"/>
  <c r="BC36" i="27"/>
  <c r="AI11" i="27"/>
  <c r="W60" i="27"/>
  <c r="S32" i="27"/>
  <c r="AD38" i="27" s="1"/>
  <c r="D32" i="27"/>
  <c r="K33" i="27" s="1"/>
  <c r="AY47" i="27"/>
  <c r="G58" i="27"/>
  <c r="AZ44" i="27"/>
  <c r="H56" i="27"/>
  <c r="D8" i="27"/>
  <c r="AZ58" i="27"/>
  <c r="H44" i="27"/>
  <c r="D56" i="27"/>
  <c r="K57" i="27" s="1"/>
  <c r="AJ8" i="27"/>
  <c r="AQ9" i="27" s="1"/>
  <c r="AY44" i="27"/>
  <c r="BJ50" i="27" s="1"/>
  <c r="AN32" i="27"/>
  <c r="S8" i="27"/>
  <c r="AD14" i="27" s="1"/>
  <c r="AL9" i="27"/>
  <c r="X52" i="27"/>
  <c r="AE52" i="27" s="1"/>
  <c r="D45" i="27"/>
  <c r="AI23" i="27"/>
  <c r="AN16" i="27"/>
  <c r="AU16" i="27" s="1"/>
  <c r="T22" i="27"/>
  <c r="AZ43" i="27"/>
  <c r="BG43" i="27" s="1"/>
  <c r="G25" i="27"/>
  <c r="W58" i="27"/>
  <c r="V33" i="27"/>
  <c r="T32" i="27"/>
  <c r="AA33" i="27" s="1"/>
  <c r="AJ20" i="27"/>
  <c r="AQ21" i="27" s="1"/>
  <c r="BC59" i="27"/>
  <c r="AJ57" i="27"/>
  <c r="S11" i="27"/>
  <c r="T31" i="27"/>
  <c r="AA31" i="27" s="1"/>
  <c r="BB33" i="27"/>
  <c r="AZ19" i="27"/>
  <c r="BG19" i="27" s="1"/>
  <c r="AZ57" i="27"/>
  <c r="T19" i="27"/>
  <c r="AA19" i="27" s="1"/>
  <c r="AM34" i="27"/>
  <c r="W47" i="27"/>
  <c r="AL20" i="27"/>
  <c r="AS21" i="27" s="1"/>
  <c r="F32" i="27"/>
  <c r="D37" i="27" s="1"/>
  <c r="K37" i="27" s="1"/>
  <c r="AY23" i="27"/>
  <c r="W37" i="27"/>
  <c r="W35" i="27"/>
  <c r="BB56" i="27"/>
  <c r="AZ61" i="27" s="1"/>
  <c r="BG61" i="27" s="1"/>
  <c r="T56" i="27"/>
  <c r="AA57" i="27" s="1"/>
  <c r="AZ7" i="27"/>
  <c r="BG7" i="27" s="1"/>
  <c r="BC46" i="27"/>
  <c r="AJ44" i="27"/>
  <c r="AQ45" i="27" s="1"/>
  <c r="F9" i="27"/>
  <c r="W25" i="27"/>
  <c r="D31" i="27"/>
  <c r="K31" i="27" s="1"/>
  <c r="AZ22" i="27"/>
  <c r="AJ58" i="27"/>
  <c r="AI8" i="27"/>
  <c r="AT14" i="27" s="1"/>
  <c r="T9" i="27"/>
  <c r="AI44" i="27"/>
  <c r="AT50" i="27" s="1"/>
  <c r="BC34" i="27"/>
  <c r="AN20" i="27"/>
  <c r="C11" i="27"/>
  <c r="BC11" i="27"/>
  <c r="AM11" i="27"/>
  <c r="AJ33" i="27"/>
  <c r="X28" i="27"/>
  <c r="AE28" i="27" s="1"/>
  <c r="G12" i="27"/>
  <c r="X56" i="27"/>
  <c r="H16" i="27"/>
  <c r="O16" i="27" s="1"/>
  <c r="T45" i="27"/>
  <c r="AI47" i="27"/>
  <c r="AM61" i="27"/>
  <c r="AM36" i="27"/>
  <c r="W11" i="27"/>
  <c r="AJ45" i="27"/>
  <c r="F56" i="27"/>
  <c r="M57" i="27" s="1"/>
  <c r="C44" i="27"/>
  <c r="N50" i="27" s="1"/>
  <c r="H4" i="27"/>
  <c r="O4" i="27" s="1"/>
  <c r="BC12" i="27"/>
  <c r="D34" i="27"/>
  <c r="AL56" i="27"/>
  <c r="AJ61" i="27" s="1"/>
  <c r="AQ61" i="27" s="1"/>
  <c r="AL8" i="27"/>
  <c r="AS9" i="27" s="1"/>
  <c r="AL33" i="27"/>
  <c r="BC48" i="27"/>
  <c r="C47" i="27"/>
  <c r="X44" i="27"/>
  <c r="AI32" i="27"/>
  <c r="AT38" i="27" s="1"/>
  <c r="AZ34" i="27"/>
  <c r="D43" i="27"/>
  <c r="K43" i="27" s="1"/>
  <c r="C20" i="27"/>
  <c r="N26" i="27" s="1"/>
  <c r="W23" i="27"/>
  <c r="T7" i="27"/>
  <c r="AA7" i="27" s="1"/>
  <c r="X16" i="27"/>
  <c r="G35" i="27"/>
  <c r="S20" i="27"/>
  <c r="AD26" i="27" s="1"/>
  <c r="W12" i="27"/>
  <c r="T55" i="27"/>
  <c r="AA55" i="27" s="1"/>
  <c r="C59" i="27"/>
  <c r="AN8" i="27"/>
  <c r="BC24" i="27"/>
  <c r="BC22" i="27"/>
  <c r="G24" i="27"/>
  <c r="W34" i="27"/>
  <c r="H32" i="27"/>
  <c r="T43" i="27"/>
  <c r="AA43" i="27" s="1"/>
  <c r="BC60" i="27"/>
  <c r="AI20" i="27"/>
  <c r="AT26" i="27" s="1"/>
  <c r="G60" i="27"/>
  <c r="T44" i="27"/>
  <c r="AA45" i="27" s="1"/>
  <c r="H52" i="27"/>
  <c r="O52" i="27" s="1"/>
  <c r="W59" i="27"/>
  <c r="G22" i="27"/>
  <c r="AJ7" i="27"/>
  <c r="AQ7" i="27" s="1"/>
  <c r="BB8" i="27"/>
  <c r="AZ13" i="27" s="1"/>
  <c r="BG13" i="27" s="1"/>
  <c r="BD8" i="27"/>
  <c r="S59" i="27"/>
  <c r="F44" i="27"/>
  <c r="M45" i="27" s="1"/>
  <c r="W48" i="27"/>
  <c r="W22" i="27"/>
  <c r="BC23" i="27"/>
  <c r="S44" i="27"/>
  <c r="AD50" i="27" s="1"/>
  <c r="BI9" i="27"/>
  <c r="AQ26" i="27"/>
  <c r="D13" i="27"/>
  <c r="K13" i="27" s="1"/>
  <c r="T25" i="27"/>
  <c r="AA25" i="27" s="1"/>
  <c r="D61" i="27"/>
  <c r="K61" i="27" s="1"/>
  <c r="D14" i="27"/>
  <c r="AZ50" i="27"/>
  <c r="AZ62" i="27"/>
  <c r="K14" i="27"/>
  <c r="BG50" i="27"/>
  <c r="AZ14" i="27"/>
  <c r="D49" i="27"/>
  <c r="K49" i="27" s="1"/>
  <c r="BI33" i="27"/>
  <c r="T50" i="27"/>
  <c r="BG14" i="27"/>
  <c r="AS33" i="27"/>
  <c r="T62" i="27"/>
  <c r="D38" i="27"/>
  <c r="T49" i="27"/>
  <c r="AA49" i="27" s="1"/>
  <c r="D62" i="27"/>
  <c r="AA62" i="27"/>
  <c r="K38" i="27"/>
  <c r="T38" i="27"/>
  <c r="K62" i="27"/>
  <c r="K45" i="27"/>
  <c r="D26" i="27"/>
  <c r="BI21" i="27"/>
  <c r="D50" i="27"/>
  <c r="AJ14" i="27"/>
  <c r="AC33" i="27"/>
  <c r="AQ33" i="27"/>
  <c r="BG45" i="27"/>
  <c r="K50" i="27"/>
  <c r="AQ14" i="27"/>
  <c r="C25" i="27" a="1"/>
  <c r="AY25" i="27" a="1"/>
  <c r="S61" i="27" a="1"/>
  <c r="AI49" i="27" a="1"/>
  <c r="AI25" i="27" a="1"/>
  <c r="AI37" i="27" a="1"/>
  <c r="C49" i="27" a="1"/>
  <c r="C37" i="27" a="1"/>
  <c r="AY37" i="27" a="1"/>
  <c r="AI61" i="27" a="1"/>
  <c r="AY49" i="27" a="1"/>
  <c r="S25" i="27" a="1"/>
  <c r="S37" i="27" a="1"/>
  <c r="S13" i="27" a="1"/>
  <c r="C61" i="27" a="1"/>
  <c r="S49" i="27" a="1"/>
  <c r="AI13" i="27" a="1"/>
  <c r="K26" i="27" l="1"/>
  <c r="AA38" i="27"/>
  <c r="AJ13" i="27"/>
  <c r="AQ13" i="27" s="1"/>
  <c r="BG62" i="27"/>
  <c r="BG38" i="27"/>
  <c r="T61" i="27"/>
  <c r="AA61" i="27" s="1"/>
  <c r="BI45" i="27"/>
  <c r="AZ38" i="27"/>
  <c r="D25" i="27"/>
  <c r="K25" i="27" s="1"/>
  <c r="AJ26" i="27"/>
  <c r="AQ62" i="27"/>
  <c r="T26" i="27"/>
  <c r="AC9" i="27"/>
  <c r="AQ50" i="27"/>
  <c r="BG26" i="27"/>
  <c r="AJ50" i="27"/>
  <c r="AJ38" i="27"/>
  <c r="AJ49" i="27"/>
  <c r="AQ49" i="27" s="1"/>
  <c r="AA26" i="27"/>
  <c r="AJ62" i="27"/>
  <c r="AZ26" i="27"/>
  <c r="M33" i="27"/>
  <c r="T14" i="27"/>
  <c r="AA14" i="27"/>
  <c r="AY49" i="27"/>
  <c r="BF49" i="27" s="1"/>
  <c r="AI61" i="27"/>
  <c r="AP61" i="27" s="1"/>
  <c r="C49" i="27"/>
  <c r="J49" i="27" s="1"/>
  <c r="AI37" i="27"/>
  <c r="AP37" i="27" s="1"/>
  <c r="AA50" i="27"/>
  <c r="AS57" i="27"/>
  <c r="BG57" i="27"/>
  <c r="BI57" i="27"/>
  <c r="AJ25" i="27"/>
  <c r="AQ25" i="27" s="1"/>
  <c r="AQ38" i="27"/>
  <c r="K9" i="27"/>
  <c r="BG9" i="27"/>
  <c r="C61" i="27"/>
  <c r="J61" i="27" s="1"/>
  <c r="AI49" i="27"/>
  <c r="AP49" i="27" s="1"/>
  <c r="S37" i="27"/>
  <c r="Z37" i="27" s="1"/>
  <c r="AY37" i="27"/>
  <c r="BF37" i="27" s="1"/>
  <c r="C25" i="27"/>
  <c r="J25" i="27" s="1"/>
  <c r="AI25" i="27"/>
  <c r="AP25" i="27" s="1"/>
  <c r="S13" i="27"/>
  <c r="Z13" i="27" s="1"/>
  <c r="S25" i="27"/>
  <c r="Z25" i="27" s="1"/>
  <c r="AY25" i="27"/>
  <c r="BF25" i="27" s="1"/>
  <c r="S61" i="27"/>
  <c r="Z61" i="27" s="1"/>
  <c r="AI13" i="27"/>
  <c r="AP13" i="27" s="1"/>
  <c r="C37" i="27"/>
  <c r="J37" i="27" s="1"/>
  <c r="S49" i="27"/>
  <c r="Z49" i="27" s="1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15" i="5"/>
  <c r="C13" i="27" a="1"/>
  <c r="AY13" i="27" a="1"/>
  <c r="AY61" i="27" a="1"/>
  <c r="AY61" i="27" l="1"/>
  <c r="BF61" i="27" s="1"/>
  <c r="AY13" i="27"/>
  <c r="BF13" i="27" s="1"/>
  <c r="C13" i="27"/>
  <c r="J13" i="27" s="1"/>
  <c r="W28" i="21"/>
  <c r="W29" i="21"/>
  <c r="W30" i="21"/>
  <c r="W31" i="21"/>
  <c r="W32" i="21"/>
  <c r="W33" i="21"/>
  <c r="W34" i="21"/>
  <c r="W35" i="21"/>
  <c r="W36" i="21"/>
  <c r="W37" i="21"/>
  <c r="W38" i="21"/>
  <c r="W39" i="21"/>
  <c r="W40" i="21"/>
  <c r="W41" i="21"/>
  <c r="W42" i="21"/>
  <c r="W43" i="21"/>
  <c r="W44" i="21"/>
  <c r="W45" i="21"/>
  <c r="W46" i="21"/>
  <c r="W27" i="21"/>
  <c r="V28" i="21"/>
  <c r="V29" i="21"/>
  <c r="V30" i="21"/>
  <c r="V31" i="21"/>
  <c r="V32" i="21"/>
  <c r="V33" i="21"/>
  <c r="V34" i="21"/>
  <c r="V35" i="21"/>
  <c r="V36" i="21"/>
  <c r="V37" i="21"/>
  <c r="V38" i="21"/>
  <c r="V39" i="21"/>
  <c r="V40" i="21"/>
  <c r="V41" i="21"/>
  <c r="V42" i="21"/>
  <c r="V43" i="21"/>
  <c r="V44" i="21"/>
  <c r="V45" i="21"/>
  <c r="V46" i="21"/>
  <c r="V27" i="21"/>
  <c r="U28" i="21"/>
  <c r="U29" i="21"/>
  <c r="U30" i="21"/>
  <c r="U31" i="21"/>
  <c r="U32" i="21"/>
  <c r="U33" i="21"/>
  <c r="U34" i="21"/>
  <c r="U35" i="21"/>
  <c r="U36" i="21"/>
  <c r="U37" i="21"/>
  <c r="U38" i="21"/>
  <c r="U39" i="21"/>
  <c r="U40" i="21"/>
  <c r="U41" i="21"/>
  <c r="U42" i="21"/>
  <c r="U43" i="21"/>
  <c r="U44" i="21"/>
  <c r="U45" i="21"/>
  <c r="U46" i="21"/>
  <c r="U27" i="21"/>
  <c r="V47" i="21" l="1"/>
  <c r="BE17" i="1" s="1"/>
  <c r="W47" i="21"/>
  <c r="BH17" i="1" s="1"/>
  <c r="X28" i="21"/>
  <c r="X29" i="21"/>
  <c r="X30" i="21"/>
  <c r="X31" i="21"/>
  <c r="X32" i="21"/>
  <c r="X33" i="21"/>
  <c r="X34" i="21"/>
  <c r="X35" i="21"/>
  <c r="X36" i="21"/>
  <c r="X37" i="21"/>
  <c r="X38" i="21"/>
  <c r="X39" i="21"/>
  <c r="X40" i="21"/>
  <c r="X41" i="21"/>
  <c r="X42" i="21"/>
  <c r="X43" i="21"/>
  <c r="X44" i="21"/>
  <c r="X45" i="21"/>
  <c r="X46" i="21"/>
  <c r="X27" i="21"/>
  <c r="T28" i="21"/>
  <c r="T29" i="21"/>
  <c r="T30" i="21"/>
  <c r="T31" i="21"/>
  <c r="T32" i="21"/>
  <c r="T33" i="21"/>
  <c r="T34" i="21"/>
  <c r="T35" i="21"/>
  <c r="T36" i="21"/>
  <c r="T37" i="21"/>
  <c r="T38" i="21"/>
  <c r="T39" i="21"/>
  <c r="T40" i="21"/>
  <c r="T41" i="21"/>
  <c r="T42" i="21"/>
  <c r="T43" i="21"/>
  <c r="T44" i="21"/>
  <c r="T45" i="21"/>
  <c r="T46" i="21"/>
  <c r="T27" i="21"/>
  <c r="BB29" i="1" l="1"/>
  <c r="BB17" i="1"/>
  <c r="BB23" i="1"/>
  <c r="BB21" i="1"/>
  <c r="BB19" i="1"/>
  <c r="BB37" i="1"/>
  <c r="BB43" i="1"/>
  <c r="BB41" i="1"/>
  <c r="BB39" i="1"/>
  <c r="BB27" i="1"/>
  <c r="BB33" i="1"/>
  <c r="BB31" i="1"/>
  <c r="Q28" i="21"/>
  <c r="Q29" i="21"/>
  <c r="Q30" i="21"/>
  <c r="Q31" i="21"/>
  <c r="Q32" i="21"/>
  <c r="Q33" i="21"/>
  <c r="Q34" i="21"/>
  <c r="Q35" i="21"/>
  <c r="Q36" i="21"/>
  <c r="Q37" i="21"/>
  <c r="Q38" i="21"/>
  <c r="Q39" i="21"/>
  <c r="Q40" i="21"/>
  <c r="Q41" i="21"/>
  <c r="Q42" i="21"/>
  <c r="Q43" i="21"/>
  <c r="Q44" i="21"/>
  <c r="Q45" i="21"/>
  <c r="Q46" i="21"/>
  <c r="Q27" i="21"/>
  <c r="R27" i="21"/>
  <c r="R28" i="21"/>
  <c r="R29" i="21"/>
  <c r="R30" i="21"/>
  <c r="R31" i="21"/>
  <c r="R32" i="21"/>
  <c r="R33" i="21"/>
  <c r="R34" i="21"/>
  <c r="R35" i="21"/>
  <c r="R36" i="21"/>
  <c r="R37" i="21"/>
  <c r="R38" i="21"/>
  <c r="R39" i="21"/>
  <c r="R40" i="21"/>
  <c r="R41" i="21"/>
  <c r="R42" i="21"/>
  <c r="R43" i="21"/>
  <c r="R44" i="21"/>
  <c r="R45" i="21"/>
  <c r="R46" i="21"/>
  <c r="L28" i="21"/>
  <c r="L29" i="21"/>
  <c r="L30" i="21"/>
  <c r="L31" i="21"/>
  <c r="L32" i="21"/>
  <c r="L33" i="21"/>
  <c r="L34" i="21"/>
  <c r="L35" i="21"/>
  <c r="L36" i="21"/>
  <c r="L37" i="21"/>
  <c r="L38" i="21"/>
  <c r="L39" i="21"/>
  <c r="L40" i="21"/>
  <c r="L41" i="21"/>
  <c r="L42" i="21"/>
  <c r="L43" i="21"/>
  <c r="L44" i="21"/>
  <c r="L45" i="21"/>
  <c r="L46" i="21"/>
  <c r="L27" i="21"/>
  <c r="M27" i="21"/>
  <c r="N27" i="21" s="1"/>
  <c r="M28" i="21"/>
  <c r="N28" i="21" s="1"/>
  <c r="M29" i="21"/>
  <c r="N29" i="21" s="1"/>
  <c r="M30" i="21"/>
  <c r="N30" i="21" s="1"/>
  <c r="M31" i="21"/>
  <c r="N31" i="21" s="1"/>
  <c r="M32" i="21"/>
  <c r="N32" i="21" s="1"/>
  <c r="M33" i="21"/>
  <c r="N33" i="21" s="1"/>
  <c r="M34" i="21"/>
  <c r="N34" i="21" s="1"/>
  <c r="M35" i="21"/>
  <c r="N35" i="21" s="1"/>
  <c r="M36" i="21"/>
  <c r="N36" i="21" s="1"/>
  <c r="M37" i="21"/>
  <c r="N37" i="21" s="1"/>
  <c r="M38" i="21"/>
  <c r="N38" i="21" s="1"/>
  <c r="M39" i="21"/>
  <c r="N39" i="21" s="1"/>
  <c r="M40" i="21"/>
  <c r="N40" i="21" s="1"/>
  <c r="M41" i="21"/>
  <c r="N41" i="21" s="1"/>
  <c r="M42" i="21"/>
  <c r="N42" i="21" s="1"/>
  <c r="M43" i="21"/>
  <c r="N43" i="21" s="1"/>
  <c r="M44" i="21"/>
  <c r="N44" i="21" s="1"/>
  <c r="M45" i="21"/>
  <c r="N45" i="21" s="1"/>
  <c r="M46" i="21"/>
  <c r="N46" i="21" s="1"/>
  <c r="I28" i="21"/>
  <c r="I29" i="21"/>
  <c r="I30" i="21"/>
  <c r="I31" i="21"/>
  <c r="I32" i="21"/>
  <c r="I33" i="21"/>
  <c r="I34" i="21"/>
  <c r="I35" i="21"/>
  <c r="I36" i="21"/>
  <c r="I37" i="21"/>
  <c r="I38" i="21"/>
  <c r="I39" i="21"/>
  <c r="I40" i="21"/>
  <c r="I41" i="21"/>
  <c r="I42" i="21"/>
  <c r="I43" i="21"/>
  <c r="I44" i="21"/>
  <c r="I45" i="21"/>
  <c r="I46" i="21"/>
  <c r="I27" i="21"/>
  <c r="H28" i="21"/>
  <c r="H29" i="21"/>
  <c r="H30" i="21"/>
  <c r="H31" i="21"/>
  <c r="H32" i="21"/>
  <c r="H33" i="21"/>
  <c r="H34" i="21"/>
  <c r="H35" i="21"/>
  <c r="H36" i="21"/>
  <c r="H37" i="21"/>
  <c r="H38" i="21"/>
  <c r="H39" i="21"/>
  <c r="H40" i="21"/>
  <c r="H41" i="21"/>
  <c r="H42" i="21"/>
  <c r="H43" i="21"/>
  <c r="H44" i="21"/>
  <c r="H45" i="21"/>
  <c r="H46" i="21"/>
  <c r="H27" i="21"/>
  <c r="AP23" i="1"/>
  <c r="AP21" i="1"/>
  <c r="AP19" i="1"/>
  <c r="AP17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15" i="1"/>
  <c r="AX34" i="1" l="1"/>
  <c r="AX23" i="1"/>
  <c r="AX21" i="1"/>
  <c r="AX32" i="1"/>
  <c r="AX30" i="1"/>
  <c r="AX19" i="1"/>
  <c r="AX28" i="1"/>
  <c r="AX17" i="1"/>
  <c r="N47" i="21"/>
  <c r="AT30" i="1" s="1"/>
  <c r="AT25" i="1"/>
  <c r="AT18" i="1"/>
  <c r="AT23" i="1"/>
  <c r="AT16" i="1"/>
  <c r="AQ21" i="1"/>
  <c r="AQ23" i="1"/>
  <c r="AQ19" i="1"/>
  <c r="AQ17" i="1"/>
  <c r="F16" i="5" l="1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15" i="5"/>
  <c r="AB35" i="1"/>
  <c r="BD45" i="27" a="1"/>
  <c r="AM33" i="27" a="1"/>
  <c r="X21" i="27" a="1"/>
  <c r="W33" i="27" a="1"/>
  <c r="W9" i="27" a="1"/>
  <c r="H9" i="27" a="1"/>
  <c r="BC57" i="27" a="1"/>
  <c r="BD9" i="27" a="1"/>
  <c r="G45" i="27" a="1"/>
  <c r="W21" i="27" a="1"/>
  <c r="BD33" i="27" a="1"/>
  <c r="X57" i="27" a="1"/>
  <c r="G57" i="27" a="1"/>
  <c r="H21" i="27" a="1"/>
  <c r="X33" i="27" a="1"/>
  <c r="AN57" i="27" a="1"/>
  <c r="BC21" i="27" a="1"/>
  <c r="BD21" i="27" a="1"/>
  <c r="G21" i="27" a="1"/>
  <c r="AN33" i="27" a="1"/>
  <c r="BC9" i="27" a="1"/>
  <c r="H45" i="27" a="1"/>
  <c r="W57" i="27" a="1"/>
  <c r="BC33" i="27" a="1"/>
  <c r="W45" i="27" a="1"/>
  <c r="AM21" i="27" a="1"/>
  <c r="H33" i="27" a="1"/>
  <c r="X9" i="27" a="1"/>
  <c r="AM9" i="27" a="1"/>
  <c r="G33" i="27" a="1"/>
  <c r="AM45" i="27" a="1"/>
  <c r="AM57" i="27" a="1"/>
  <c r="AN9" i="27" a="1"/>
  <c r="AN45" i="27" a="1"/>
  <c r="X45" i="27" a="1"/>
  <c r="G9" i="27" a="1"/>
  <c r="BD57" i="27" a="1"/>
  <c r="H57" i="27" a="1"/>
  <c r="BC45" i="27" a="1"/>
  <c r="AN21" i="27" a="1"/>
  <c r="AN33" i="27" l="1"/>
  <c r="AU31" i="27" s="1"/>
  <c r="X45" i="27"/>
  <c r="AE43" i="27" s="1"/>
  <c r="H57" i="27"/>
  <c r="O55" i="27" s="1"/>
  <c r="G9" i="27"/>
  <c r="N7" i="27" s="1"/>
  <c r="BC21" i="27"/>
  <c r="BJ19" i="27" s="1"/>
  <c r="AM33" i="27"/>
  <c r="AT31" i="27" s="1"/>
  <c r="W45" i="27"/>
  <c r="AD43" i="27" s="1"/>
  <c r="G57" i="27"/>
  <c r="N55" i="27" s="1"/>
  <c r="BD21" i="27"/>
  <c r="BK19" i="27" s="1"/>
  <c r="BD9" i="27"/>
  <c r="BK7" i="27" s="1"/>
  <c r="AN21" i="27"/>
  <c r="AU19" i="27" s="1"/>
  <c r="X33" i="27"/>
  <c r="AE31" i="27" s="1"/>
  <c r="H45" i="27"/>
  <c r="O43" i="27" s="1"/>
  <c r="BC57" i="27"/>
  <c r="BJ55" i="27" s="1"/>
  <c r="BC9" i="27"/>
  <c r="BJ7" i="27" s="1"/>
  <c r="AM21" i="27"/>
  <c r="AT19" i="27" s="1"/>
  <c r="W33" i="27"/>
  <c r="AD31" i="27" s="1"/>
  <c r="G45" i="27"/>
  <c r="N43" i="27" s="1"/>
  <c r="H9" i="27"/>
  <c r="O7" i="27" s="1"/>
  <c r="BD57" i="27"/>
  <c r="BK55" i="27" s="1"/>
  <c r="BD45" i="27"/>
  <c r="BK43" i="27" s="1"/>
  <c r="AN9" i="27"/>
  <c r="AU7" i="27" s="1"/>
  <c r="X21" i="27"/>
  <c r="AE19" i="27" s="1"/>
  <c r="H33" i="27"/>
  <c r="O31" i="27" s="1"/>
  <c r="BC45" i="27"/>
  <c r="BJ43" i="27" s="1"/>
  <c r="AM57" i="27"/>
  <c r="AT55" i="27" s="1"/>
  <c r="AM9" i="27"/>
  <c r="AT7" i="27" s="1"/>
  <c r="W21" i="27"/>
  <c r="AD19" i="27" s="1"/>
  <c r="G33" i="27"/>
  <c r="N31" i="27" s="1"/>
  <c r="AN57" i="27"/>
  <c r="AU55" i="27" s="1"/>
  <c r="BD33" i="27"/>
  <c r="BK31" i="27" s="1"/>
  <c r="AN45" i="27"/>
  <c r="AU43" i="27" s="1"/>
  <c r="X57" i="27"/>
  <c r="AE55" i="27" s="1"/>
  <c r="X9" i="27"/>
  <c r="AE7" i="27" s="1"/>
  <c r="H21" i="27"/>
  <c r="O19" i="27" s="1"/>
  <c r="BC33" i="27"/>
  <c r="BJ31" i="27" s="1"/>
  <c r="AM45" i="27"/>
  <c r="AT43" i="27" s="1"/>
  <c r="W57" i="27"/>
  <c r="AD55" i="27" s="1"/>
  <c r="W9" i="27"/>
  <c r="AD7" i="27" s="1"/>
  <c r="G21" i="27"/>
  <c r="N19" i="27" s="1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15" i="5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15" i="1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33" i="5"/>
  <c r="O34" i="5"/>
  <c r="O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15" i="5"/>
  <c r="I16" i="5"/>
  <c r="D16" i="5" s="1"/>
  <c r="I17" i="5"/>
  <c r="I18" i="5"/>
  <c r="D18" i="5" s="1"/>
  <c r="I19" i="5"/>
  <c r="D19" i="5" s="1"/>
  <c r="I20" i="5"/>
  <c r="D20" i="5" s="1"/>
  <c r="I21" i="5"/>
  <c r="D21" i="5" s="1"/>
  <c r="I22" i="5"/>
  <c r="D22" i="5" s="1"/>
  <c r="I23" i="5"/>
  <c r="D23" i="5" s="1"/>
  <c r="I24" i="5"/>
  <c r="D24" i="5" s="1"/>
  <c r="I25" i="5"/>
  <c r="D25" i="5" s="1"/>
  <c r="I26" i="5"/>
  <c r="D26" i="5" s="1"/>
  <c r="I27" i="5"/>
  <c r="D27" i="5" s="1"/>
  <c r="I28" i="5"/>
  <c r="D28" i="5" s="1"/>
  <c r="I29" i="5"/>
  <c r="D29" i="5" s="1"/>
  <c r="I30" i="5"/>
  <c r="D30" i="5" s="1"/>
  <c r="I31" i="5"/>
  <c r="D31" i="5" s="1"/>
  <c r="I32" i="5"/>
  <c r="D32" i="5" s="1"/>
  <c r="I33" i="5"/>
  <c r="D33" i="5" s="1"/>
  <c r="I34" i="5"/>
  <c r="D34" i="5" s="1"/>
  <c r="I15" i="5"/>
  <c r="D15" i="5" s="1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15" i="5"/>
  <c r="F11" i="5"/>
  <c r="AE37" i="1"/>
  <c r="AE36" i="1"/>
  <c r="AZ34" i="1"/>
  <c r="AV34" i="1"/>
  <c r="AZ33" i="1"/>
  <c r="AV33" i="1"/>
  <c r="AZ32" i="1"/>
  <c r="AV32" i="1"/>
  <c r="AZ31" i="1"/>
  <c r="AV31" i="1"/>
  <c r="AZ30" i="1"/>
  <c r="AV30" i="1"/>
  <c r="AZ29" i="1"/>
  <c r="AV29" i="1"/>
  <c r="AZ28" i="1"/>
  <c r="AV28" i="1"/>
  <c r="AZ27" i="1"/>
  <c r="AV27" i="1"/>
  <c r="AZ26" i="1"/>
  <c r="AV26" i="1"/>
  <c r="AZ25" i="1"/>
  <c r="AV25" i="1"/>
  <c r="AZ24" i="1"/>
  <c r="AV24" i="1"/>
  <c r="AZ23" i="1"/>
  <c r="AV23" i="1"/>
  <c r="AZ22" i="1"/>
  <c r="AV22" i="1"/>
  <c r="AZ21" i="1"/>
  <c r="AV21" i="1"/>
  <c r="AZ20" i="1"/>
  <c r="AV20" i="1"/>
  <c r="AZ19" i="1"/>
  <c r="AV19" i="1"/>
  <c r="AZ18" i="1"/>
  <c r="AV18" i="1"/>
  <c r="AZ17" i="1"/>
  <c r="AV17" i="1"/>
  <c r="AZ16" i="1"/>
  <c r="AV16" i="1"/>
  <c r="AZ15" i="1"/>
  <c r="AV15" i="1"/>
  <c r="D17" i="5" l="1"/>
  <c r="E17" i="5" s="1"/>
  <c r="E16" i="5"/>
  <c r="E33" i="5"/>
  <c r="E30" i="5"/>
  <c r="E32" i="5"/>
  <c r="E28" i="5"/>
  <c r="E21" i="5"/>
  <c r="E25" i="5"/>
  <c r="E31" i="5"/>
  <c r="E23" i="5"/>
  <c r="E29" i="5"/>
  <c r="E27" i="5"/>
  <c r="E34" i="5"/>
  <c r="E18" i="5"/>
  <c r="E20" i="5"/>
  <c r="E22" i="5"/>
  <c r="E24" i="5"/>
  <c r="E26" i="5"/>
  <c r="AV35" i="1"/>
  <c r="AZ35" i="1"/>
  <c r="E15" i="5" l="1"/>
  <c r="E19" i="5"/>
  <c r="F160" i="25"/>
  <c r="J160" i="25" s="1"/>
  <c r="K160" i="25" s="1"/>
  <c r="M160" i="25" s="1"/>
  <c r="F159" i="25"/>
  <c r="J159" i="25" s="1"/>
  <c r="K159" i="25" s="1"/>
  <c r="M159" i="25" s="1"/>
  <c r="K154" i="25"/>
  <c r="M154" i="25" s="1"/>
  <c r="J154" i="25"/>
  <c r="J153" i="25"/>
  <c r="K153" i="25" s="1"/>
  <c r="M153" i="25" s="1"/>
  <c r="K152" i="25"/>
  <c r="M152" i="25" s="1"/>
  <c r="J152" i="25"/>
  <c r="J151" i="25"/>
  <c r="K151" i="25" s="1"/>
  <c r="M151" i="25" s="1"/>
  <c r="K150" i="25"/>
  <c r="M150" i="25" s="1"/>
  <c r="J150" i="25"/>
  <c r="J149" i="25"/>
  <c r="K149" i="25" s="1"/>
  <c r="M149" i="25" s="1"/>
  <c r="K148" i="25"/>
  <c r="M148" i="25" s="1"/>
  <c r="J148" i="25"/>
  <c r="J147" i="25"/>
  <c r="K147" i="25" s="1"/>
  <c r="M147" i="25" s="1"/>
  <c r="K146" i="25"/>
  <c r="M146" i="25" s="1"/>
  <c r="J146" i="25"/>
  <c r="J145" i="25"/>
  <c r="K145" i="25" s="1"/>
  <c r="M145" i="25" s="1"/>
  <c r="K144" i="25"/>
  <c r="M144" i="25" s="1"/>
  <c r="J144" i="25"/>
  <c r="J143" i="25"/>
  <c r="K143" i="25" s="1"/>
  <c r="M143" i="25" s="1"/>
  <c r="K142" i="25"/>
  <c r="M142" i="25" s="1"/>
  <c r="J142" i="25"/>
  <c r="J141" i="25"/>
  <c r="K141" i="25" s="1"/>
  <c r="M141" i="25" s="1"/>
  <c r="K140" i="25"/>
  <c r="M140" i="25" s="1"/>
  <c r="J140" i="25"/>
  <c r="J139" i="25"/>
  <c r="K139" i="25" s="1"/>
  <c r="M139" i="25" s="1"/>
  <c r="F135" i="25"/>
  <c r="J135" i="25" s="1"/>
  <c r="K135" i="25" s="1"/>
  <c r="M135" i="25" s="1"/>
  <c r="K134" i="25"/>
  <c r="M134" i="25" s="1"/>
  <c r="J134" i="25"/>
  <c r="J131" i="25"/>
  <c r="I131" i="25"/>
  <c r="K131" i="25" s="1"/>
  <c r="M131" i="25" s="1"/>
  <c r="I130" i="25"/>
  <c r="K130" i="25" s="1"/>
  <c r="M130" i="25" s="1"/>
  <c r="F130" i="25"/>
  <c r="J130" i="25" s="1"/>
  <c r="K126" i="25"/>
  <c r="M126" i="25" s="1"/>
  <c r="J126" i="25"/>
  <c r="J123" i="25"/>
  <c r="K123" i="25" s="1"/>
  <c r="M123" i="25" s="1"/>
  <c r="I122" i="25"/>
  <c r="F122" i="25"/>
  <c r="J122" i="25" s="1"/>
  <c r="K122" i="25" s="1"/>
  <c r="M122" i="25" s="1"/>
  <c r="J121" i="25"/>
  <c r="I121" i="25"/>
  <c r="K121" i="25" s="1"/>
  <c r="M121" i="25" s="1"/>
  <c r="J120" i="25"/>
  <c r="I120" i="25"/>
  <c r="K120" i="25" s="1"/>
  <c r="M120" i="25" s="1"/>
  <c r="J119" i="25"/>
  <c r="I119" i="25"/>
  <c r="K119" i="25" s="1"/>
  <c r="M119" i="25" s="1"/>
  <c r="J118" i="25"/>
  <c r="I118" i="25"/>
  <c r="K118" i="25" s="1"/>
  <c r="M118" i="25" s="1"/>
  <c r="J117" i="25"/>
  <c r="I117" i="25"/>
  <c r="K117" i="25" s="1"/>
  <c r="M117" i="25" s="1"/>
  <c r="J116" i="25"/>
  <c r="I116" i="25"/>
  <c r="K116" i="25" s="1"/>
  <c r="M116" i="25" s="1"/>
  <c r="J115" i="25"/>
  <c r="I115" i="25"/>
  <c r="K115" i="25" s="1"/>
  <c r="M115" i="25" s="1"/>
  <c r="J114" i="25"/>
  <c r="I114" i="25"/>
  <c r="K114" i="25" s="1"/>
  <c r="M114" i="25" s="1"/>
  <c r="J113" i="25"/>
  <c r="I113" i="25"/>
  <c r="K113" i="25" s="1"/>
  <c r="M113" i="25" s="1"/>
  <c r="I112" i="25"/>
  <c r="F112" i="25"/>
  <c r="J112" i="25" s="1"/>
  <c r="J111" i="25"/>
  <c r="I111" i="25"/>
  <c r="K111" i="25" s="1"/>
  <c r="M111" i="25" s="1"/>
  <c r="J110" i="25"/>
  <c r="I110" i="25"/>
  <c r="K110" i="25" s="1"/>
  <c r="M110" i="25" s="1"/>
  <c r="J109" i="25"/>
  <c r="I109" i="25"/>
  <c r="K109" i="25" s="1"/>
  <c r="M109" i="25" s="1"/>
  <c r="J108" i="25"/>
  <c r="I108" i="25"/>
  <c r="K108" i="25" s="1"/>
  <c r="M108" i="25" s="1"/>
  <c r="J107" i="25"/>
  <c r="I107" i="25"/>
  <c r="K107" i="25" s="1"/>
  <c r="M107" i="25" s="1"/>
  <c r="J106" i="25"/>
  <c r="I106" i="25"/>
  <c r="K106" i="25" s="1"/>
  <c r="M106" i="25" s="1"/>
  <c r="J105" i="25"/>
  <c r="I105" i="25"/>
  <c r="K105" i="25" s="1"/>
  <c r="M105" i="25" s="1"/>
  <c r="J104" i="25"/>
  <c r="I104" i="25"/>
  <c r="K104" i="25" s="1"/>
  <c r="M104" i="25" s="1"/>
  <c r="J103" i="25"/>
  <c r="I103" i="25"/>
  <c r="K103" i="25" s="1"/>
  <c r="M103" i="25" s="1"/>
  <c r="J102" i="25"/>
  <c r="I102" i="25"/>
  <c r="K102" i="25" s="1"/>
  <c r="M102" i="25" s="1"/>
  <c r="J101" i="25"/>
  <c r="I101" i="25"/>
  <c r="K101" i="25" s="1"/>
  <c r="M101" i="25" s="1"/>
  <c r="J100" i="25"/>
  <c r="I100" i="25"/>
  <c r="K100" i="25" s="1"/>
  <c r="M100" i="25" s="1"/>
  <c r="J99" i="25"/>
  <c r="I99" i="25"/>
  <c r="K99" i="25" s="1"/>
  <c r="M99" i="25" s="1"/>
  <c r="J98" i="25"/>
  <c r="I98" i="25"/>
  <c r="K98" i="25" s="1"/>
  <c r="M98" i="25" s="1"/>
  <c r="J97" i="25"/>
  <c r="I97" i="25"/>
  <c r="K97" i="25" s="1"/>
  <c r="M97" i="25" s="1"/>
  <c r="J96" i="25"/>
  <c r="I96" i="25"/>
  <c r="K96" i="25" s="1"/>
  <c r="M96" i="25" s="1"/>
  <c r="J95" i="25"/>
  <c r="I95" i="25"/>
  <c r="K95" i="25" s="1"/>
  <c r="M95" i="25" s="1"/>
  <c r="K92" i="25"/>
  <c r="M92" i="25" s="1"/>
  <c r="J92" i="25"/>
  <c r="J91" i="25"/>
  <c r="K91" i="25" s="1"/>
  <c r="M91" i="25" s="1"/>
  <c r="K90" i="25"/>
  <c r="M90" i="25" s="1"/>
  <c r="J90" i="25"/>
  <c r="J89" i="25"/>
  <c r="K89" i="25" s="1"/>
  <c r="M89" i="25" s="1"/>
  <c r="K88" i="25"/>
  <c r="M88" i="25" s="1"/>
  <c r="J88" i="25"/>
  <c r="J87" i="25"/>
  <c r="K87" i="25" s="1"/>
  <c r="M87" i="25" s="1"/>
  <c r="K86" i="25"/>
  <c r="M86" i="25" s="1"/>
  <c r="J86" i="25"/>
  <c r="J85" i="25"/>
  <c r="K85" i="25" s="1"/>
  <c r="M85" i="25" s="1"/>
  <c r="K84" i="25"/>
  <c r="M84" i="25" s="1"/>
  <c r="J84" i="25"/>
  <c r="J83" i="25"/>
  <c r="K83" i="25" s="1"/>
  <c r="M83" i="25" s="1"/>
  <c r="K82" i="25"/>
  <c r="M82" i="25" s="1"/>
  <c r="J82" i="25"/>
  <c r="J81" i="25"/>
  <c r="K81" i="25" s="1"/>
  <c r="M81" i="25" s="1"/>
  <c r="K80" i="25"/>
  <c r="M80" i="25" s="1"/>
  <c r="J80" i="25"/>
  <c r="J79" i="25"/>
  <c r="K79" i="25" s="1"/>
  <c r="M79" i="25" s="1"/>
  <c r="K78" i="25"/>
  <c r="M78" i="25" s="1"/>
  <c r="J78" i="25"/>
  <c r="J77" i="25"/>
  <c r="K77" i="25" s="1"/>
  <c r="M77" i="25" s="1"/>
  <c r="K76" i="25"/>
  <c r="M76" i="25" s="1"/>
  <c r="J76" i="25"/>
  <c r="J75" i="25"/>
  <c r="K75" i="25" s="1"/>
  <c r="M75" i="25" s="1"/>
  <c r="K74" i="25"/>
  <c r="M74" i="25" s="1"/>
  <c r="J74" i="25"/>
  <c r="J73" i="25"/>
  <c r="K73" i="25" s="1"/>
  <c r="M73" i="25" s="1"/>
  <c r="K72" i="25"/>
  <c r="M72" i="25" s="1"/>
  <c r="J72" i="25"/>
  <c r="J71" i="25"/>
  <c r="K71" i="25" s="1"/>
  <c r="M71" i="25" s="1"/>
  <c r="K70" i="25"/>
  <c r="M70" i="25" s="1"/>
  <c r="J70" i="25"/>
  <c r="J69" i="25"/>
  <c r="K69" i="25" s="1"/>
  <c r="M69" i="25" s="1"/>
  <c r="K68" i="25"/>
  <c r="M68" i="25" s="1"/>
  <c r="J68" i="25"/>
  <c r="J67" i="25"/>
  <c r="K67" i="25" s="1"/>
  <c r="M67" i="25" s="1"/>
  <c r="K66" i="25"/>
  <c r="M66" i="25" s="1"/>
  <c r="J66" i="25"/>
  <c r="J65" i="25"/>
  <c r="K65" i="25" s="1"/>
  <c r="M65" i="25" s="1"/>
  <c r="K64" i="25"/>
  <c r="M64" i="25" s="1"/>
  <c r="J64" i="25"/>
  <c r="J63" i="25"/>
  <c r="K63" i="25" s="1"/>
  <c r="M63" i="25" s="1"/>
  <c r="K112" i="25" l="1"/>
  <c r="M112" i="25" s="1"/>
  <c r="J8" i="25" l="1"/>
  <c r="K8" i="25"/>
  <c r="M8" i="25" s="1"/>
  <c r="J9" i="25"/>
  <c r="K9" i="25"/>
  <c r="M9" i="25"/>
  <c r="J13" i="25"/>
  <c r="K13" i="25" s="1"/>
  <c r="M13" i="25" s="1"/>
  <c r="J14" i="25"/>
  <c r="K14" i="25"/>
  <c r="M14" i="25" s="1"/>
  <c r="J15" i="25"/>
  <c r="K15" i="25"/>
  <c r="M15" i="25"/>
  <c r="J16" i="25"/>
  <c r="K16" i="25"/>
  <c r="M16" i="25"/>
  <c r="J20" i="25"/>
  <c r="K20" i="25" s="1"/>
  <c r="M20" i="25" s="1"/>
  <c r="J21" i="25"/>
  <c r="K21" i="25"/>
  <c r="M21" i="25" s="1"/>
  <c r="J22" i="25"/>
  <c r="K22" i="25"/>
  <c r="M22" i="25"/>
  <c r="J23" i="25"/>
  <c r="K23" i="25"/>
  <c r="M23" i="25"/>
  <c r="J24" i="25"/>
  <c r="K24" i="25" s="1"/>
  <c r="M24" i="25" s="1"/>
  <c r="J25" i="25"/>
  <c r="K25" i="25"/>
  <c r="M25" i="25" s="1"/>
  <c r="J26" i="25"/>
  <c r="K26" i="25"/>
  <c r="M26" i="25"/>
  <c r="J27" i="25"/>
  <c r="K27" i="25"/>
  <c r="M27" i="25"/>
  <c r="J28" i="25"/>
  <c r="K28" i="25" s="1"/>
  <c r="M28" i="25" s="1"/>
  <c r="J29" i="25"/>
  <c r="K29" i="25"/>
  <c r="M29" i="25" s="1"/>
  <c r="J30" i="25"/>
  <c r="K30" i="25"/>
  <c r="M30" i="25"/>
  <c r="J31" i="25"/>
  <c r="K31" i="25" s="1"/>
  <c r="M31" i="25" s="1"/>
  <c r="J32" i="25"/>
  <c r="K32" i="25" s="1"/>
  <c r="M32" i="25" s="1"/>
  <c r="J37" i="25"/>
  <c r="K37" i="25"/>
  <c r="M37" i="25" s="1"/>
  <c r="J38" i="25"/>
  <c r="K38" i="25"/>
  <c r="M38" i="25"/>
  <c r="J39" i="25"/>
  <c r="K39" i="25" s="1"/>
  <c r="M39" i="25" s="1"/>
  <c r="J40" i="25"/>
  <c r="K40" i="25" s="1"/>
  <c r="M40" i="25" s="1"/>
  <c r="J41" i="25"/>
  <c r="K41" i="25"/>
  <c r="M41" i="25" s="1"/>
  <c r="J42" i="25"/>
  <c r="K42" i="25"/>
  <c r="M42" i="25"/>
  <c r="J43" i="25"/>
  <c r="K43" i="25"/>
  <c r="M43" i="25"/>
  <c r="J48" i="25"/>
  <c r="K48" i="25" s="1"/>
  <c r="M48" i="25" s="1"/>
  <c r="J49" i="25"/>
  <c r="K49" i="25"/>
  <c r="M49" i="25" s="1"/>
  <c r="J50" i="25"/>
  <c r="K50" i="25"/>
  <c r="M50" i="25"/>
  <c r="J51" i="25"/>
  <c r="K51" i="25"/>
  <c r="M51" i="25"/>
  <c r="J52" i="25"/>
  <c r="K52" i="25" s="1"/>
  <c r="M52" i="25" s="1"/>
  <c r="J53" i="25"/>
  <c r="K53" i="25"/>
  <c r="M53" i="25" s="1"/>
  <c r="J54" i="25"/>
  <c r="K54" i="25"/>
  <c r="M54" i="25"/>
  <c r="J55" i="25"/>
  <c r="K55" i="25"/>
  <c r="M55" i="25"/>
  <c r="P2" i="1" l="1"/>
  <c r="C23" i="5" l="1"/>
  <c r="C31" i="5"/>
  <c r="C27" i="5"/>
  <c r="C20" i="5"/>
  <c r="C24" i="5"/>
  <c r="C28" i="5"/>
  <c r="C32" i="5"/>
  <c r="C21" i="5"/>
  <c r="C25" i="5"/>
  <c r="C29" i="5"/>
  <c r="C33" i="5"/>
  <c r="C22" i="5"/>
  <c r="C26" i="5"/>
  <c r="C30" i="5"/>
  <c r="C34" i="5"/>
  <c r="C18" i="5"/>
  <c r="C17" i="5"/>
  <c r="C19" i="5"/>
  <c r="C16" i="5"/>
  <c r="C15" i="5"/>
  <c r="W7" i="1" l="1"/>
  <c r="W5" i="1"/>
  <c r="K11" i="5" l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Y15" i="1"/>
  <c r="Y16" i="1"/>
  <c r="Z15" i="1"/>
  <c r="Z16" i="1"/>
  <c r="AD15" i="1"/>
  <c r="AD16" i="1"/>
  <c r="AC39" i="1"/>
  <c r="AA39" i="1" s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K3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W8" i="1"/>
  <c r="W9" i="1"/>
  <c r="C35" i="1"/>
  <c r="K3" i="31" l="1"/>
  <c r="K3" i="32"/>
  <c r="X33" i="1"/>
  <c r="X29" i="1"/>
  <c r="X25" i="1"/>
  <c r="X21" i="1"/>
  <c r="C38" i="11"/>
  <c r="X15" i="1"/>
  <c r="AE15" i="1" s="1"/>
  <c r="X32" i="1"/>
  <c r="X28" i="1"/>
  <c r="X24" i="1"/>
  <c r="X20" i="1"/>
  <c r="AD35" i="1"/>
  <c r="X19" i="1"/>
  <c r="X16" i="1"/>
  <c r="X34" i="1"/>
  <c r="X30" i="1"/>
  <c r="X26" i="1"/>
  <c r="X22" i="1"/>
  <c r="X18" i="1"/>
  <c r="X17" i="1"/>
  <c r="AC35" i="1"/>
  <c r="AE33" i="1"/>
  <c r="X23" i="1"/>
  <c r="I35" i="5"/>
  <c r="Z35" i="1"/>
  <c r="Y35" i="1"/>
  <c r="AA35" i="1"/>
  <c r="X27" i="1"/>
  <c r="X31" i="1"/>
  <c r="AE25" i="1" l="1"/>
  <c r="AE32" i="1"/>
  <c r="AE34" i="1"/>
  <c r="AE31" i="1"/>
  <c r="AE27" i="1"/>
  <c r="AE29" i="1"/>
  <c r="AE18" i="1"/>
  <c r="AE20" i="1"/>
  <c r="AE16" i="1"/>
  <c r="AE24" i="1"/>
  <c r="AE21" i="1"/>
  <c r="AE26" i="1"/>
  <c r="AE19" i="1"/>
  <c r="AE28" i="1"/>
  <c r="AE23" i="1"/>
  <c r="AE22" i="1"/>
  <c r="AE17" i="1"/>
  <c r="AE30" i="1"/>
  <c r="X35" i="1"/>
  <c r="AE35" i="1" s="1"/>
  <c r="AE39" i="1" s="1"/>
  <c r="AE38" i="1" l="1"/>
  <c r="D37" i="11" s="1"/>
  <c r="AE40" i="1" l="1"/>
  <c r="D39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<sst xmlns="http://schemas.openxmlformats.org/spreadsheetml/2006/main" count="2488" uniqueCount="1429">
  <si>
    <t>Bill To:</t>
  </si>
  <si>
    <t>Job:</t>
  </si>
  <si>
    <t>Room</t>
  </si>
  <si>
    <t>Size</t>
  </si>
  <si>
    <t>X</t>
  </si>
  <si>
    <t>Phone</t>
  </si>
  <si>
    <t>Totals</t>
  </si>
  <si>
    <t>Page 2</t>
  </si>
  <si>
    <t>total</t>
  </si>
  <si>
    <t>Travel</t>
  </si>
  <si>
    <t>Measure</t>
  </si>
  <si>
    <t>Contact</t>
  </si>
  <si>
    <t>#</t>
  </si>
  <si>
    <t>color</t>
  </si>
  <si>
    <t>Facia</t>
  </si>
  <si>
    <t>Facia Cost</t>
  </si>
  <si>
    <t>side channel cost</t>
  </si>
  <si>
    <t>Hembar</t>
  </si>
  <si>
    <t>Fabric</t>
  </si>
  <si>
    <t>Width</t>
  </si>
  <si>
    <t>Job #</t>
  </si>
  <si>
    <t>Name</t>
  </si>
  <si>
    <t>Location</t>
  </si>
  <si>
    <t>Cut Size</t>
  </si>
  <si>
    <t>Side Channel</t>
  </si>
  <si>
    <t>Length</t>
  </si>
  <si>
    <t>Facia Color</t>
  </si>
  <si>
    <t>Brackets</t>
  </si>
  <si>
    <t>Job number assigned by office</t>
  </si>
  <si>
    <t>Line 4</t>
  </si>
  <si>
    <t>Line 1</t>
  </si>
  <si>
    <t>Line 2</t>
  </si>
  <si>
    <t>Line 3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</si>
  <si>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</si>
  <si>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</si>
  <si>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</si>
  <si>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</si>
  <si>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</si>
  <si>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</si>
  <si>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</si>
  <si>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</si>
  <si>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</si>
  <si>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</si>
  <si>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Line 15</t>
  </si>
  <si>
    <t>Line 16</t>
  </si>
  <si>
    <t>Line 17</t>
  </si>
  <si>
    <t>Line 18</t>
  </si>
  <si>
    <t>Line 19</t>
  </si>
  <si>
    <t>Line 20</t>
  </si>
  <si>
    <t>line 4</t>
  </si>
  <si>
    <t>line5</t>
  </si>
  <si>
    <t>line6</t>
  </si>
  <si>
    <t>line 7</t>
  </si>
  <si>
    <t>line 8</t>
  </si>
  <si>
    <t>line 9</t>
  </si>
  <si>
    <t>line 10</t>
  </si>
  <si>
    <t>Side chnl. Install.</t>
  </si>
  <si>
    <t>line 11</t>
  </si>
  <si>
    <t>line 12</t>
  </si>
  <si>
    <t>line 13</t>
  </si>
  <si>
    <t>line 14</t>
  </si>
  <si>
    <t>line 15</t>
  </si>
  <si>
    <t>line 16</t>
  </si>
  <si>
    <t>line 17</t>
  </si>
  <si>
    <t>line 18</t>
  </si>
  <si>
    <t>line 19</t>
  </si>
  <si>
    <t>line 20</t>
  </si>
  <si>
    <t>Yellow cells have formulas</t>
  </si>
  <si>
    <t>Orange cells for office use only</t>
  </si>
  <si>
    <t>webuildem Const co.</t>
  </si>
  <si>
    <t>801-555-5555</t>
  </si>
  <si>
    <t>86 Condemed lane</t>
  </si>
  <si>
    <t>I M 4 Everlost Ave.</t>
  </si>
  <si>
    <t>Swamp View Medical Towers</t>
  </si>
  <si>
    <t>Job Name</t>
  </si>
  <si>
    <t>Hardware Cutting sheet</t>
  </si>
  <si>
    <t>Fascia</t>
  </si>
  <si>
    <t xml:space="preserve"> </t>
  </si>
  <si>
    <t>RR = Railroad</t>
  </si>
  <si>
    <t>DO NOT CHANGE SIZE PARAMETERS !!!!!</t>
  </si>
  <si>
    <t>DO NOT ADD LINES TO THIS FORM</t>
  </si>
  <si>
    <t>PAGE 1</t>
  </si>
  <si>
    <t>Maximum of 1 per line</t>
  </si>
  <si>
    <t>markup</t>
  </si>
  <si>
    <t>Pricing factor chart</t>
  </si>
  <si>
    <t>+/- .001</t>
  </si>
  <si>
    <t>roll</t>
  </si>
  <si>
    <t xml:space="preserve">our cost </t>
  </si>
  <si>
    <t>sq inches</t>
  </si>
  <si>
    <t>our cost</t>
  </si>
  <si>
    <t>Pricing</t>
  </si>
  <si>
    <t>size</t>
  </si>
  <si>
    <t>per roll</t>
  </si>
  <si>
    <t>per sq inch</t>
  </si>
  <si>
    <t>factor</t>
  </si>
  <si>
    <t>Sheerweave</t>
  </si>
  <si>
    <t>Sheerweave # 1000</t>
  </si>
  <si>
    <t>"</t>
  </si>
  <si>
    <t>ft</t>
  </si>
  <si>
    <t>Sheerweave # 2000</t>
  </si>
  <si>
    <t>Sheerweave # 2100</t>
  </si>
  <si>
    <t>Sheerweave # 2360 / 2390 / 2410</t>
  </si>
  <si>
    <t>Sheerweave # 3000</t>
  </si>
  <si>
    <t>Sheerweave # 4000</t>
  </si>
  <si>
    <t>Sheerweave # 4100</t>
  </si>
  <si>
    <t>Sheerweave # 4400</t>
  </si>
  <si>
    <t>Sheerweave #4500</t>
  </si>
  <si>
    <t>Sheerweave # 4800</t>
  </si>
  <si>
    <t>Sheerweave # 5000</t>
  </si>
  <si>
    <t>Sheerweave # 7000</t>
  </si>
  <si>
    <t>Sheerweave # 7100</t>
  </si>
  <si>
    <t xml:space="preserve">Sheerweave # 7500 Blackout </t>
  </si>
  <si>
    <t>Mermet</t>
  </si>
  <si>
    <t>E Screen 7501</t>
  </si>
  <si>
    <t>E Screen 7503</t>
  </si>
  <si>
    <t>E Screen 7505</t>
  </si>
  <si>
    <t xml:space="preserve">E Screen 7510 </t>
  </si>
  <si>
    <t>M Screen 8503</t>
  </si>
  <si>
    <t>M Screen 8505</t>
  </si>
  <si>
    <t>M Screeen 8555</t>
  </si>
  <si>
    <t>T Screen 9601</t>
  </si>
  <si>
    <t>T Screen 9603</t>
  </si>
  <si>
    <t>Satine 5500</t>
  </si>
  <si>
    <t>Natte 4500</t>
  </si>
  <si>
    <t>Fiz 12905</t>
  </si>
  <si>
    <t>light filtering</t>
  </si>
  <si>
    <t>Paradis 11600</t>
  </si>
  <si>
    <t>Obion 11203</t>
  </si>
  <si>
    <t>Flocke 11201</t>
  </si>
  <si>
    <t>Blackout</t>
  </si>
  <si>
    <t>Silverscreen 38505</t>
  </si>
  <si>
    <t>Vela 2105</t>
  </si>
  <si>
    <t>Terra 2306</t>
  </si>
  <si>
    <t>Blackout Exlite 14500</t>
  </si>
  <si>
    <t xml:space="preserve">Avila Twilight  </t>
  </si>
  <si>
    <t>Butler Laminating</t>
  </si>
  <si>
    <t>Panta Flex  Matte white</t>
  </si>
  <si>
    <t>Mariak</t>
  </si>
  <si>
    <t>Econo sheer</t>
  </si>
  <si>
    <t>Woodland cedar</t>
  </si>
  <si>
    <t>Herculite</t>
  </si>
  <si>
    <t>Herculite 80M</t>
  </si>
  <si>
    <t>blackout</t>
  </si>
  <si>
    <t>Showtime II 14 oz. black</t>
  </si>
  <si>
    <t>Showtime II 14 oz. Royal Blue</t>
  </si>
  <si>
    <t>Alkenz</t>
  </si>
  <si>
    <t>Sunshadow 3000 net</t>
  </si>
  <si>
    <t>Sunshadow 3000 Duo</t>
  </si>
  <si>
    <t>Sunshadow 3000 RR</t>
  </si>
  <si>
    <t>Sunshadow 3000 HT</t>
  </si>
  <si>
    <t xml:space="preserve">Sunshadow 3100 net </t>
  </si>
  <si>
    <t>Sunshadow 3300 net</t>
  </si>
  <si>
    <t>Sunshadow 3500 HT</t>
  </si>
  <si>
    <t>Sunshadow 4000 Net</t>
  </si>
  <si>
    <t>Sunshadow 4000 L</t>
  </si>
  <si>
    <t>Sunshadow 4000 W</t>
  </si>
  <si>
    <t>Sunshadow 4100 AP</t>
  </si>
  <si>
    <t>Sunshadow 4300 Net</t>
  </si>
  <si>
    <t>Sunshadow 4700 P</t>
  </si>
  <si>
    <t>Sunshadow 4700 Q</t>
  </si>
  <si>
    <t>Sunshadow View SS</t>
  </si>
  <si>
    <t>Sunshadow View R</t>
  </si>
  <si>
    <t>G &amp; G</t>
  </si>
  <si>
    <t>Sunout 5000</t>
  </si>
  <si>
    <t>Quotation</t>
  </si>
  <si>
    <t>We are pleased to submit to you the following bid for your consideration:</t>
  </si>
  <si>
    <t>Product:</t>
  </si>
  <si>
    <t>Total Bid</t>
  </si>
  <si>
    <t>Tax Rate</t>
  </si>
  <si>
    <t xml:space="preserve">you to call us if you have any questions.  </t>
  </si>
  <si>
    <t>Submitted by:</t>
  </si>
  <si>
    <t>Colton Inc.</t>
  </si>
  <si>
    <t>Email</t>
  </si>
  <si>
    <t>Sales Rep</t>
  </si>
  <si>
    <t>Tax</t>
  </si>
  <si>
    <t>Total</t>
  </si>
  <si>
    <t>Subtotal</t>
  </si>
  <si>
    <t>Site</t>
  </si>
  <si>
    <t>Office</t>
  </si>
  <si>
    <t>Singular Blackout 2800 FR</t>
  </si>
  <si>
    <t>Material:</t>
  </si>
  <si>
    <t>Location:</t>
  </si>
  <si>
    <t>Bid Date:</t>
  </si>
  <si>
    <t>Project:</t>
  </si>
  <si>
    <t>Address:</t>
  </si>
  <si>
    <t>Attention:</t>
  </si>
  <si>
    <t>V = Vertical</t>
  </si>
  <si>
    <t>Cell:</t>
  </si>
  <si>
    <t>Acct. Executive:</t>
  </si>
  <si>
    <t>Style</t>
  </si>
  <si>
    <t>Account Executive</t>
  </si>
  <si>
    <t>Phone:</t>
  </si>
  <si>
    <t>Email:</t>
  </si>
  <si>
    <t>Customer:</t>
  </si>
  <si>
    <t>(If Applicable, Confirm Rate)</t>
  </si>
  <si>
    <t>(if different):</t>
  </si>
  <si>
    <t>Billing Name:</t>
  </si>
  <si>
    <r>
      <t>Billing Address</t>
    </r>
    <r>
      <rPr>
        <sz val="8"/>
        <rFont val="Arial"/>
        <family val="2"/>
      </rPr>
      <t>:</t>
    </r>
  </si>
  <si>
    <t xml:space="preserve">Sign (Hardware): </t>
  </si>
  <si>
    <t>Production Log-</t>
  </si>
  <si>
    <t>Tube</t>
  </si>
  <si>
    <t>Pg # __________</t>
  </si>
  <si>
    <t xml:space="preserve">Notes      </t>
  </si>
  <si>
    <t>Page #</t>
  </si>
  <si>
    <t>Shade Reference</t>
  </si>
  <si>
    <t xml:space="preserve">line 1 </t>
  </si>
  <si>
    <t>line 2</t>
  </si>
  <si>
    <t xml:space="preserve">line 3 </t>
  </si>
  <si>
    <t>Job</t>
  </si>
  <si>
    <t>Number</t>
  </si>
  <si>
    <t>Roller Shade</t>
  </si>
  <si>
    <t>Left</t>
  </si>
  <si>
    <t>Tube Size</t>
  </si>
  <si>
    <t>Tube 2.375</t>
  </si>
  <si>
    <t>Custom</t>
  </si>
  <si>
    <t>VX Screen 8200-3  (33yards/rl)</t>
  </si>
  <si>
    <t>VX Screen 2900-5   (33 yards/rl)</t>
  </si>
  <si>
    <t>VX Screen Blackout   (30 yards/rl)</t>
  </si>
  <si>
    <t>VX Screen 3000-5   (30 yards/rl)</t>
  </si>
  <si>
    <t>VX Screen 3000-1   (30 yards/rl)</t>
  </si>
  <si>
    <t>VX Screen 3000-3   (30 yards/rl)</t>
  </si>
  <si>
    <t>Vertilux</t>
  </si>
  <si>
    <t>Rollease</t>
  </si>
  <si>
    <t>Panta Flex  Matte Black  #930</t>
  </si>
  <si>
    <t>Panta Flex  Matte Beige  #933</t>
  </si>
  <si>
    <t>Panta Flex  Matte White  #900</t>
  </si>
  <si>
    <t xml:space="preserve">Darksource Blackout </t>
  </si>
  <si>
    <t xml:space="preserve">Senbesta </t>
  </si>
  <si>
    <t>OUT DATED PRICING</t>
  </si>
  <si>
    <t xml:space="preserve">***Use only for referencing types/styles of fabric, not pricing. </t>
  </si>
  <si>
    <t xml:space="preserve">Right </t>
  </si>
  <si>
    <t>Notch Side</t>
  </si>
  <si>
    <t>V</t>
  </si>
  <si>
    <t>RR</t>
  </si>
  <si>
    <t>Sq yds used</t>
  </si>
  <si>
    <t>Ft Spline Used</t>
  </si>
  <si>
    <t>Ft Fascia Used</t>
  </si>
  <si>
    <t>Feet</t>
  </si>
  <si>
    <t>Hem Bar</t>
  </si>
  <si>
    <t>Chain Length</t>
  </si>
  <si>
    <t>Motorized Roller Shades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</si>
  <si>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</si>
  <si>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</si>
  <si>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</si>
  <si>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</si>
  <si>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</si>
  <si>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</si>
  <si>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</si>
  <si>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</si>
  <si>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</si>
  <si>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</si>
  <si>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</si>
  <si>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</si>
  <si>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</si>
  <si>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</si>
  <si>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</si>
  <si>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</si>
  <si>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</si>
  <si>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</si>
  <si>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</si>
  <si>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</si>
  <si>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B1</t>
  </si>
  <si>
    <t>B2</t>
  </si>
  <si>
    <t>C1</t>
  </si>
  <si>
    <t>D1</t>
  </si>
  <si>
    <t>E1</t>
  </si>
  <si>
    <t>F1</t>
  </si>
  <si>
    <t>G1</t>
  </si>
  <si>
    <t>H1</t>
  </si>
  <si>
    <t>I1</t>
  </si>
  <si>
    <t>J1</t>
  </si>
  <si>
    <t>K1</t>
  </si>
  <si>
    <t>L1</t>
  </si>
  <si>
    <t>M1</t>
  </si>
  <si>
    <t>N1</t>
  </si>
  <si>
    <t>O1</t>
  </si>
  <si>
    <t>P1</t>
  </si>
  <si>
    <t>Q1</t>
  </si>
  <si>
    <t>R1</t>
  </si>
  <si>
    <t>S1</t>
  </si>
  <si>
    <t>T1</t>
  </si>
  <si>
    <t>U1</t>
  </si>
  <si>
    <t>V1</t>
  </si>
  <si>
    <t>X1</t>
  </si>
  <si>
    <t>W1</t>
  </si>
  <si>
    <t>Y1</t>
  </si>
  <si>
    <t>Z1</t>
  </si>
  <si>
    <t>B3</t>
  </si>
  <si>
    <t>B4</t>
  </si>
  <si>
    <t>B5</t>
  </si>
  <si>
    <t>B6</t>
  </si>
  <si>
    <t>B7</t>
  </si>
  <si>
    <t>B8</t>
  </si>
  <si>
    <t>B9</t>
  </si>
  <si>
    <t>B10</t>
  </si>
  <si>
    <t>B11</t>
  </si>
  <si>
    <t>B12</t>
  </si>
  <si>
    <t>B13</t>
  </si>
  <si>
    <t>B14</t>
  </si>
  <si>
    <t>B15</t>
  </si>
  <si>
    <t>B16</t>
  </si>
  <si>
    <t>B17</t>
  </si>
  <si>
    <t>B18</t>
  </si>
  <si>
    <t>B19</t>
  </si>
  <si>
    <t>B20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</si>
  <si>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</si>
  <si>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</si>
  <si>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</si>
  <si>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</si>
  <si>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</si>
  <si>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</si>
  <si>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</si>
  <si>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</si>
  <si>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</si>
  <si>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</si>
  <si>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</si>
  <si>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</si>
  <si>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</si>
  <si>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</si>
  <si>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</si>
  <si>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</si>
  <si>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</si>
  <si>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</si>
  <si>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</si>
  <si>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</si>
  <si>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</si>
  <si>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</si>
  <si>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</si>
  <si>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</si>
  <si>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</si>
  <si>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</si>
  <si>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</si>
  <si>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</si>
  <si>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D11</t>
  </si>
  <si>
    <t>D12</t>
  </si>
  <si>
    <t>D13</t>
  </si>
  <si>
    <t>D14</t>
  </si>
  <si>
    <t>D15</t>
  </si>
  <si>
    <t>D16</t>
  </si>
  <si>
    <t>D17</t>
  </si>
  <si>
    <t>D18</t>
  </si>
  <si>
    <t>D19</t>
  </si>
  <si>
    <t>D20</t>
  </si>
  <si>
    <t>E2</t>
  </si>
  <si>
    <t>E3</t>
  </si>
  <si>
    <t>E4</t>
  </si>
  <si>
    <t>E5</t>
  </si>
  <si>
    <t>E6</t>
  </si>
  <si>
    <t>E7</t>
  </si>
  <si>
    <t>E8</t>
  </si>
  <si>
    <t>E9</t>
  </si>
  <si>
    <t>E10</t>
  </si>
  <si>
    <t>E11</t>
  </si>
  <si>
    <t>E12</t>
  </si>
  <si>
    <t>E13</t>
  </si>
  <si>
    <t>E14</t>
  </si>
  <si>
    <t>E15</t>
  </si>
  <si>
    <t>E16</t>
  </si>
  <si>
    <t>E17</t>
  </si>
  <si>
    <t>E18</t>
  </si>
  <si>
    <t>E19</t>
  </si>
  <si>
    <t>E20</t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</si>
  <si>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</si>
  <si>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</si>
  <si>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</si>
  <si>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</si>
  <si>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</si>
  <si>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</si>
  <si>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</si>
  <si>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</si>
  <si>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</si>
  <si>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</si>
  <si>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</si>
  <si>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F13</t>
  </si>
  <si>
    <t>F14</t>
  </si>
  <si>
    <t>F15</t>
  </si>
  <si>
    <t>F16</t>
  </si>
  <si>
    <t>F17</t>
  </si>
  <si>
    <t>F18</t>
  </si>
  <si>
    <t>F19</t>
  </si>
  <si>
    <t>F20</t>
  </si>
  <si>
    <t>G2</t>
  </si>
  <si>
    <t>G3</t>
  </si>
  <si>
    <t>G4</t>
  </si>
  <si>
    <t>G5</t>
  </si>
  <si>
    <t>G6</t>
  </si>
  <si>
    <t>G7</t>
  </si>
  <si>
    <t>G8</t>
  </si>
  <si>
    <t>G9</t>
  </si>
  <si>
    <t>G10</t>
  </si>
  <si>
    <t>G11</t>
  </si>
  <si>
    <t>G12</t>
  </si>
  <si>
    <t>G13</t>
  </si>
  <si>
    <t>G14</t>
  </si>
  <si>
    <t>G15</t>
  </si>
  <si>
    <t>G16</t>
  </si>
  <si>
    <t>G17</t>
  </si>
  <si>
    <t>G18</t>
  </si>
  <si>
    <t>G19</t>
  </si>
  <si>
    <t>G20</t>
  </si>
  <si>
    <t>H2</t>
  </si>
  <si>
    <t>H3</t>
  </si>
  <si>
    <t>H4</t>
  </si>
  <si>
    <t>H5</t>
  </si>
  <si>
    <t>H6</t>
  </si>
  <si>
    <t>H7</t>
  </si>
  <si>
    <t>H8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</si>
  <si>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</si>
  <si>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</si>
  <si>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</si>
  <si>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</si>
  <si>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</si>
  <si>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</si>
  <si>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</si>
  <si>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</si>
  <si>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</si>
  <si>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H18</t>
  </si>
  <si>
    <t>H19</t>
  </si>
  <si>
    <t>H20</t>
  </si>
  <si>
    <t>I2</t>
  </si>
  <si>
    <t>I3</t>
  </si>
  <si>
    <t>I4</t>
  </si>
  <si>
    <t>I5</t>
  </si>
  <si>
    <t>I6</t>
  </si>
  <si>
    <t>I7</t>
  </si>
  <si>
    <t>I8</t>
  </si>
  <si>
    <t>I9</t>
  </si>
  <si>
    <t>I10</t>
  </si>
  <si>
    <t>I11</t>
  </si>
  <si>
    <t>I12</t>
  </si>
  <si>
    <t>I13</t>
  </si>
  <si>
    <t>I14</t>
  </si>
  <si>
    <t>I15</t>
  </si>
  <si>
    <t>I16</t>
  </si>
  <si>
    <t>I17</t>
  </si>
  <si>
    <t>I18</t>
  </si>
  <si>
    <t>I19</t>
  </si>
  <si>
    <t>I20</t>
  </si>
  <si>
    <t>J2</t>
  </si>
  <si>
    <t>J3</t>
  </si>
  <si>
    <t>J4</t>
  </si>
  <si>
    <t>J5</t>
  </si>
  <si>
    <t>J6</t>
  </si>
  <si>
    <t>J7</t>
  </si>
  <si>
    <t>J8</t>
  </si>
  <si>
    <t>J9</t>
  </si>
  <si>
    <t>J10</t>
  </si>
  <si>
    <t>J11</t>
  </si>
  <si>
    <t>J12</t>
  </si>
  <si>
    <t>J13</t>
  </si>
  <si>
    <t>J14</t>
  </si>
  <si>
    <t>J15</t>
  </si>
  <si>
    <t>J16</t>
  </si>
  <si>
    <t>J17</t>
  </si>
  <si>
    <t>J18</t>
  </si>
  <si>
    <t>J19</t>
  </si>
  <si>
    <t>J20</t>
  </si>
  <si>
    <t>K2</t>
  </si>
  <si>
    <t>K3</t>
  </si>
  <si>
    <t>K4</t>
  </si>
  <si>
    <t>K5</t>
  </si>
  <si>
    <t>K6</t>
  </si>
  <si>
    <t>K7</t>
  </si>
  <si>
    <t>K8</t>
  </si>
  <si>
    <t>K9</t>
  </si>
  <si>
    <t>K10</t>
  </si>
  <si>
    <t>K11</t>
  </si>
  <si>
    <t>K12</t>
  </si>
  <si>
    <t>K13</t>
  </si>
  <si>
    <t>K14</t>
  </si>
  <si>
    <t>K15</t>
  </si>
  <si>
    <t>K16</t>
  </si>
  <si>
    <t>K17</t>
  </si>
  <si>
    <t>K18</t>
  </si>
  <si>
    <t>K19</t>
  </si>
  <si>
    <t>K20</t>
  </si>
  <si>
    <t>L2</t>
  </si>
  <si>
    <t>L3</t>
  </si>
  <si>
    <t>L4</t>
  </si>
  <si>
    <t>L5</t>
  </si>
  <si>
    <t>L6</t>
  </si>
  <si>
    <t>L7</t>
  </si>
  <si>
    <t>L8</t>
  </si>
  <si>
    <t>L9</t>
  </si>
  <si>
    <t>L10</t>
  </si>
  <si>
    <t>L11</t>
  </si>
  <si>
    <t>L12</t>
  </si>
  <si>
    <t>L13</t>
  </si>
  <si>
    <t>L14</t>
  </si>
  <si>
    <t>L15</t>
  </si>
  <si>
    <t>L16</t>
  </si>
  <si>
    <t>L17</t>
  </si>
  <si>
    <t>L18</t>
  </si>
  <si>
    <t>L19</t>
  </si>
  <si>
    <t>L20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</si>
  <si>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</si>
  <si>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</si>
  <si>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</si>
  <si>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</si>
  <si>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</si>
  <si>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</si>
  <si>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</si>
  <si>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</si>
  <si>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</si>
  <si>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</si>
  <si>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</si>
  <si>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M13</t>
  </si>
  <si>
    <t>M14</t>
  </si>
  <si>
    <t>M15</t>
  </si>
  <si>
    <t>M16</t>
  </si>
  <si>
    <t>M17</t>
  </si>
  <si>
    <t>M18</t>
  </si>
  <si>
    <t>M19</t>
  </si>
  <si>
    <t>M20</t>
  </si>
  <si>
    <t>N2</t>
  </si>
  <si>
    <t>N3</t>
  </si>
  <si>
    <t>N4</t>
  </si>
  <si>
    <t>N5</t>
  </si>
  <si>
    <t>N6</t>
  </si>
  <si>
    <t>N7</t>
  </si>
  <si>
    <t>N8</t>
  </si>
  <si>
    <t>N9</t>
  </si>
  <si>
    <t>N10</t>
  </si>
  <si>
    <t>N11</t>
  </si>
  <si>
    <t>N12</t>
  </si>
  <si>
    <t>N13</t>
  </si>
  <si>
    <t>N14</t>
  </si>
  <si>
    <t>N15</t>
  </si>
  <si>
    <t>N16</t>
  </si>
  <si>
    <t>N17</t>
  </si>
  <si>
    <t>N18</t>
  </si>
  <si>
    <t>N19</t>
  </si>
  <si>
    <t>N20</t>
  </si>
  <si>
    <t>O2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</si>
  <si>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</si>
  <si>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</si>
  <si>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</si>
  <si>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</si>
  <si>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</si>
  <si>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</si>
  <si>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</si>
  <si>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</si>
  <si>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</si>
  <si>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</si>
  <si>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O13</t>
  </si>
  <si>
    <t>O14</t>
  </si>
  <si>
    <t>O15</t>
  </si>
  <si>
    <t>O16</t>
  </si>
  <si>
    <t>O17</t>
  </si>
  <si>
    <t>O18</t>
  </si>
  <si>
    <t>O19</t>
  </si>
  <si>
    <t>O20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</si>
  <si>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</si>
  <si>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</si>
  <si>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</si>
  <si>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</si>
  <si>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</si>
  <si>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</si>
  <si>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</si>
  <si>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</si>
  <si>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</si>
  <si>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</si>
  <si>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</si>
  <si>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</si>
  <si>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</si>
  <si>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</si>
  <si>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</si>
  <si>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</si>
  <si>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</si>
  <si>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</si>
  <si>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</si>
  <si>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Q2</t>
  </si>
  <si>
    <t>Q3</t>
  </si>
  <si>
    <t>Q4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</si>
  <si>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</si>
  <si>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</si>
  <si>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</si>
  <si>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</si>
  <si>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</si>
  <si>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</si>
  <si>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</si>
  <si>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</si>
  <si>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</si>
  <si>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</si>
  <si>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</si>
  <si>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</si>
  <si>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</si>
  <si>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</si>
  <si>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</si>
  <si>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</si>
  <si>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</si>
  <si>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</si>
  <si>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R20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</si>
  <si>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</si>
  <si>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</si>
  <si>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</si>
  <si>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</si>
  <si>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</si>
  <si>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</si>
  <si>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</si>
  <si>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</si>
  <si>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</si>
  <si>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</si>
  <si>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</si>
  <si>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</si>
  <si>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</si>
  <si>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</si>
  <si>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</si>
  <si>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</si>
  <si>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</si>
  <si>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</si>
  <si>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</si>
  <si>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</si>
  <si>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</si>
  <si>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</si>
  <si>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</si>
  <si>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</si>
  <si>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</si>
  <si>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</si>
  <si>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</si>
  <si>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</si>
  <si>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T11</t>
  </si>
  <si>
    <t>T12</t>
  </si>
  <si>
    <t>T13</t>
  </si>
  <si>
    <t>T14</t>
  </si>
  <si>
    <t>T15</t>
  </si>
  <si>
    <t>T16</t>
  </si>
  <si>
    <t>T17</t>
  </si>
  <si>
    <t>T18</t>
  </si>
  <si>
    <t>T19</t>
  </si>
  <si>
    <t>T20</t>
  </si>
  <si>
    <t>U2</t>
  </si>
  <si>
    <t>U3</t>
  </si>
  <si>
    <t>U4</t>
  </si>
  <si>
    <t>U5</t>
  </si>
  <si>
    <t>U6</t>
  </si>
  <si>
    <t>U7</t>
  </si>
  <si>
    <t>U8</t>
  </si>
  <si>
    <t>U9</t>
  </si>
  <si>
    <t>U10</t>
  </si>
  <si>
    <t>U11</t>
  </si>
  <si>
    <t>U12</t>
  </si>
  <si>
    <t>U13</t>
  </si>
  <si>
    <t>U14</t>
  </si>
  <si>
    <t>U15</t>
  </si>
  <si>
    <t>U16</t>
  </si>
  <si>
    <t>U17</t>
  </si>
  <si>
    <t>U18</t>
  </si>
  <si>
    <t>U19</t>
  </si>
  <si>
    <t>U20</t>
  </si>
  <si>
    <t>V2</t>
  </si>
  <si>
    <t>V3</t>
  </si>
  <si>
    <t>V4</t>
  </si>
  <si>
    <t>V5</t>
  </si>
  <si>
    <t>V6</t>
  </si>
  <si>
    <t>V7</t>
  </si>
  <si>
    <t>V8</t>
  </si>
  <si>
    <t>V9</t>
  </si>
  <si>
    <t>V10</t>
  </si>
  <si>
    <t>V11</t>
  </si>
  <si>
    <t>V12</t>
  </si>
  <si>
    <t>V13</t>
  </si>
  <si>
    <t>V14</t>
  </si>
  <si>
    <t>V15</t>
  </si>
  <si>
    <t>V16</t>
  </si>
  <si>
    <t>V17</t>
  </si>
  <si>
    <t>V18</t>
  </si>
  <si>
    <t>V19</t>
  </si>
  <si>
    <t>V20</t>
  </si>
  <si>
    <t>W2</t>
  </si>
  <si>
    <t>W3</t>
  </si>
  <si>
    <t>W4</t>
  </si>
  <si>
    <t>W5</t>
  </si>
  <si>
    <t>W6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</si>
  <si>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</si>
  <si>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</si>
  <si>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</si>
  <si>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</si>
  <si>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</si>
  <si>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</si>
  <si>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</si>
  <si>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</si>
  <si>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</si>
  <si>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</si>
  <si>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W17</t>
  </si>
  <si>
    <t>W18</t>
  </si>
  <si>
    <t>W19</t>
  </si>
  <si>
    <t>W20</t>
  </si>
  <si>
    <t>X2</t>
  </si>
  <si>
    <t>X3</t>
  </si>
  <si>
    <t>X4</t>
  </si>
  <si>
    <t>X5</t>
  </si>
  <si>
    <t>X6</t>
  </si>
  <si>
    <t>X7</t>
  </si>
  <si>
    <t>X8</t>
  </si>
  <si>
    <t>X9</t>
  </si>
  <si>
    <t>X10</t>
  </si>
  <si>
    <t>X11</t>
  </si>
  <si>
    <t>X12</t>
  </si>
  <si>
    <t>X13</t>
  </si>
  <si>
    <t>X14</t>
  </si>
  <si>
    <t>X15</t>
  </si>
  <si>
    <t>X16</t>
  </si>
  <si>
    <t>X17</t>
  </si>
  <si>
    <t>X18</t>
  </si>
  <si>
    <t>X19</t>
  </si>
  <si>
    <t>X20</t>
  </si>
  <si>
    <t>Y2</t>
  </si>
  <si>
    <t>Y3</t>
  </si>
  <si>
    <t>Y4</t>
  </si>
  <si>
    <t>Y5</t>
  </si>
  <si>
    <t>Y6</t>
  </si>
  <si>
    <t>Y7</t>
  </si>
  <si>
    <t>Y8</t>
  </si>
  <si>
    <t>Y9</t>
  </si>
  <si>
    <t>Y10</t>
  </si>
  <si>
    <t>Y11</t>
  </si>
  <si>
    <t>Y12</t>
  </si>
  <si>
    <t>Y13</t>
  </si>
  <si>
    <t>Y14</t>
  </si>
  <si>
    <t>Y15</t>
  </si>
  <si>
    <t>Y16</t>
  </si>
  <si>
    <t>Y17</t>
  </si>
  <si>
    <t>Y18</t>
  </si>
  <si>
    <t>Y19</t>
  </si>
  <si>
    <t>Y20</t>
  </si>
  <si>
    <t>Z2</t>
  </si>
  <si>
    <t>Z3</t>
  </si>
  <si>
    <t>Z4</t>
  </si>
  <si>
    <t>Z5</t>
  </si>
  <si>
    <t>Z6</t>
  </si>
  <si>
    <t>Z7</t>
  </si>
  <si>
    <t>Z8</t>
  </si>
  <si>
    <t>Z9</t>
  </si>
  <si>
    <t>Z10</t>
  </si>
  <si>
    <t>Z11</t>
  </si>
  <si>
    <t>Z12</t>
  </si>
  <si>
    <t>Z13</t>
  </si>
  <si>
    <t>Z14</t>
  </si>
  <si>
    <t>Z15</t>
  </si>
  <si>
    <t>Z16</t>
  </si>
  <si>
    <t>Z17</t>
  </si>
  <si>
    <t>Z18</t>
  </si>
  <si>
    <t>Z19</t>
  </si>
  <si>
    <t>Z20</t>
  </si>
  <si>
    <t>Motor</t>
  </si>
  <si>
    <t>RTS</t>
  </si>
  <si>
    <t>LTS</t>
  </si>
  <si>
    <t>SDN</t>
  </si>
  <si>
    <t>Tube 3</t>
  </si>
  <si>
    <t>Motor Brkts cost</t>
  </si>
  <si>
    <t>Motors, Etc.</t>
  </si>
  <si>
    <t>IB - OB</t>
  </si>
  <si>
    <t>Side Rails</t>
  </si>
  <si>
    <t>Fascia color</t>
  </si>
  <si>
    <t>Hembar color</t>
  </si>
  <si>
    <t>Left M-C-I</t>
  </si>
  <si>
    <t>Right M-C-I</t>
  </si>
  <si>
    <t>Fabric Pattern</t>
  </si>
  <si>
    <t xml:space="preserve">V / RR   </t>
  </si>
  <si>
    <t>Purple cells have drop down selections</t>
  </si>
  <si>
    <t>Stentorian Data</t>
  </si>
  <si>
    <t>Price Factor</t>
  </si>
  <si>
    <t>Fabric 1</t>
  </si>
  <si>
    <t>Fabric 2</t>
  </si>
  <si>
    <t>Fabric 3</t>
  </si>
  <si>
    <t>Fabric 4</t>
  </si>
  <si>
    <t>Fabric Sq. Yards</t>
  </si>
  <si>
    <t>Fabric totals for worksheet</t>
  </si>
  <si>
    <t>Tube totals for Worksheet</t>
  </si>
  <si>
    <t>Inches Used</t>
  </si>
  <si>
    <t>Tube  2.375</t>
  </si>
  <si>
    <t>White</t>
  </si>
  <si>
    <t>Alum</t>
  </si>
  <si>
    <t>Black</t>
  </si>
  <si>
    <t>Bronze</t>
  </si>
  <si>
    <t>Fascia Totals for Worksheet</t>
  </si>
  <si>
    <t>Color</t>
  </si>
  <si>
    <t>Pieces Used</t>
  </si>
  <si>
    <t>Yes</t>
  </si>
  <si>
    <t>No</t>
  </si>
  <si>
    <t>Fascia Color</t>
  </si>
  <si>
    <t>Motor Type</t>
  </si>
  <si>
    <t>Motor Size</t>
  </si>
  <si>
    <t xml:space="preserve">Hvy Dty </t>
  </si>
  <si>
    <t xml:space="preserve">Wireless </t>
  </si>
  <si>
    <t>Regular</t>
  </si>
  <si>
    <t>Purple = Drop Down Selection</t>
  </si>
  <si>
    <t>Tubes - Feet Used</t>
  </si>
  <si>
    <t>Brackets totals for worksheet</t>
  </si>
  <si>
    <t>Clutch &amp; Idler for totals for worksheet</t>
  </si>
  <si>
    <t>4"Star Head</t>
  </si>
  <si>
    <t>4" U Bracket</t>
  </si>
  <si>
    <t>Coupler</t>
  </si>
  <si>
    <t>Idler</t>
  </si>
  <si>
    <t xml:space="preserve">Motor Brackets </t>
  </si>
  <si>
    <t>Couplers</t>
  </si>
  <si>
    <t>Male</t>
  </si>
  <si>
    <t>Female</t>
  </si>
  <si>
    <t>4" Star Head White</t>
  </si>
  <si>
    <t>4" Star Head Aluminum</t>
  </si>
  <si>
    <t>4" Star Head Bronze</t>
  </si>
  <si>
    <t>4" Star Head Black</t>
  </si>
  <si>
    <t>M/F Coupler Sets</t>
  </si>
  <si>
    <t>Idlers</t>
  </si>
  <si>
    <t>4" Coupler White</t>
  </si>
  <si>
    <t>4" Coupler Aluminum</t>
  </si>
  <si>
    <t>4" Coupler Black</t>
  </si>
  <si>
    <t>4" Coupler Bronze</t>
  </si>
  <si>
    <t>4" Idler White</t>
  </si>
  <si>
    <t>4" Idler Aluminum</t>
  </si>
  <si>
    <t>4" Idler Black</t>
  </si>
  <si>
    <t>4" Idler Bronze</t>
  </si>
  <si>
    <t>Total Sets</t>
  </si>
  <si>
    <t>Total Idlers</t>
  </si>
  <si>
    <t>value left</t>
  </si>
  <si>
    <t>value right</t>
  </si>
  <si>
    <t>Allowance</t>
  </si>
  <si>
    <t>Double Motor Brackets</t>
  </si>
  <si>
    <t xml:space="preserve">To determine the # of rolls needed for your job, please use the Roller Shade Summary workbook. Copy and paste your shade sizes into the Fabric 1 tab, Set parameters for roll width and RailRoad options, then click on calculate for the total. </t>
  </si>
  <si>
    <t>Double</t>
  </si>
  <si>
    <t>Bracket</t>
  </si>
  <si>
    <t>Accepted by:</t>
  </si>
  <si>
    <t>Motor/Idler Placement</t>
  </si>
  <si>
    <t>Shade Size</t>
  </si>
  <si>
    <t>801-969-3453</t>
  </si>
  <si>
    <t>DO NOT ADD OR DELETE LINES ON THIS PAGE</t>
  </si>
  <si>
    <t>Tube 1.5</t>
  </si>
  <si>
    <t>Price Adjustment:</t>
  </si>
  <si>
    <t>Category</t>
  </si>
  <si>
    <t>Hardware</t>
  </si>
  <si>
    <t>Extension</t>
  </si>
  <si>
    <t>Side chan.</t>
  </si>
  <si>
    <t>Install</t>
  </si>
  <si>
    <t>DUE DATE</t>
  </si>
  <si>
    <t>Sealed</t>
  </si>
  <si>
    <t>Customer Signature</t>
  </si>
  <si>
    <t xml:space="preserve">Quote is valid for 60 days from Bid Date. </t>
  </si>
  <si>
    <t xml:space="preserve">We look forward to supplying the above listed products, and invite  </t>
  </si>
  <si>
    <t>Installation Included</t>
  </si>
  <si>
    <t>Delivery Included</t>
  </si>
  <si>
    <t>Shipping Included</t>
  </si>
  <si>
    <t>Shipping To Be Determined</t>
  </si>
  <si>
    <t>Shipping NOT Included</t>
  </si>
  <si>
    <t xml:space="preserve">Will Call </t>
  </si>
  <si>
    <t xml:space="preserve">**NOTE: </t>
  </si>
  <si>
    <t># Tubes Used</t>
  </si>
  <si>
    <t># Hem Bar Used</t>
  </si>
  <si>
    <t>Double Brackets</t>
  </si>
  <si>
    <t>AA1</t>
  </si>
  <si>
    <t>AA2</t>
  </si>
  <si>
    <t>AA3</t>
  </si>
  <si>
    <t>AA4</t>
  </si>
  <si>
    <t>AA5</t>
  </si>
  <si>
    <t>AA6</t>
  </si>
  <si>
    <t>AA7</t>
  </si>
  <si>
    <t>AA8</t>
  </si>
  <si>
    <t>AA9</t>
  </si>
  <si>
    <t>AA10</t>
  </si>
  <si>
    <t>AA11</t>
  </si>
  <si>
    <t>AA12</t>
  </si>
  <si>
    <t>AA13</t>
  </si>
  <si>
    <t>AA14</t>
  </si>
  <si>
    <t>AA15</t>
  </si>
  <si>
    <t>AA16</t>
  </si>
  <si>
    <t>AA17</t>
  </si>
  <si>
    <t>AA18</t>
  </si>
  <si>
    <t>AA19</t>
  </si>
  <si>
    <t>AA20</t>
  </si>
  <si>
    <t>BB1</t>
  </si>
  <si>
    <t>CC1</t>
  </si>
  <si>
    <t>DD1</t>
  </si>
  <si>
    <t>EE1</t>
  </si>
  <si>
    <t>FF1</t>
  </si>
  <si>
    <t>GG1</t>
  </si>
  <si>
    <t>HH1</t>
  </si>
  <si>
    <t>II1</t>
  </si>
  <si>
    <t>JJ1</t>
  </si>
  <si>
    <t>KK1</t>
  </si>
  <si>
    <t>LL1</t>
  </si>
  <si>
    <t>MM1</t>
  </si>
  <si>
    <t>NN1</t>
  </si>
  <si>
    <t>OO1</t>
  </si>
  <si>
    <t>PP1</t>
  </si>
  <si>
    <t>QQ1</t>
  </si>
  <si>
    <t>RR1</t>
  </si>
  <si>
    <t>SS1</t>
  </si>
  <si>
    <t>TT1</t>
  </si>
  <si>
    <t>UU1</t>
  </si>
  <si>
    <t>VV1</t>
  </si>
  <si>
    <t>WW1</t>
  </si>
  <si>
    <t>XX1</t>
  </si>
  <si>
    <t>XX2</t>
  </si>
  <si>
    <t>XX3</t>
  </si>
  <si>
    <t>YY1</t>
  </si>
  <si>
    <t>ZZ1</t>
  </si>
  <si>
    <t>BB2</t>
  </si>
  <si>
    <t>BB3</t>
  </si>
  <si>
    <t>BB4</t>
  </si>
  <si>
    <t>BB5</t>
  </si>
  <si>
    <t>BB6</t>
  </si>
  <si>
    <t>BB7</t>
  </si>
  <si>
    <t>BB8</t>
  </si>
  <si>
    <t>BB9</t>
  </si>
  <si>
    <t>BB10</t>
  </si>
  <si>
    <t>BB11</t>
  </si>
  <si>
    <t>BB12</t>
  </si>
  <si>
    <t>BB13</t>
  </si>
  <si>
    <t>BB14</t>
  </si>
  <si>
    <t>BB15</t>
  </si>
  <si>
    <t>BB16</t>
  </si>
  <si>
    <t>BB17</t>
  </si>
  <si>
    <t>BB18</t>
  </si>
  <si>
    <t>BB19</t>
  </si>
  <si>
    <t>BB20</t>
  </si>
  <si>
    <t>CC2</t>
  </si>
  <si>
    <t>CC3</t>
  </si>
  <si>
    <t>CC4</t>
  </si>
  <si>
    <t>CC5</t>
  </si>
  <si>
    <t>CC6</t>
  </si>
  <si>
    <t>CC7</t>
  </si>
  <si>
    <t>CC8</t>
  </si>
  <si>
    <t>CC9</t>
  </si>
  <si>
    <t>CC10</t>
  </si>
  <si>
    <t>CC11</t>
  </si>
  <si>
    <t>CC12</t>
  </si>
  <si>
    <t>CC13</t>
  </si>
  <si>
    <t>CC14</t>
  </si>
  <si>
    <t>CC15</t>
  </si>
  <si>
    <t>CC16</t>
  </si>
  <si>
    <t>CC17</t>
  </si>
  <si>
    <t>CC18</t>
  </si>
  <si>
    <t>CC19</t>
  </si>
  <si>
    <t>CC20</t>
  </si>
  <si>
    <t>DD2</t>
  </si>
  <si>
    <t>DD3</t>
  </si>
  <si>
    <t>DD4</t>
  </si>
  <si>
    <t>DD5</t>
  </si>
  <si>
    <t>DD6</t>
  </si>
  <si>
    <t>DD7</t>
  </si>
  <si>
    <t>DD8</t>
  </si>
  <si>
    <t>DD9</t>
  </si>
  <si>
    <t>DD10</t>
  </si>
  <si>
    <t>DD11</t>
  </si>
  <si>
    <t>DD12</t>
  </si>
  <si>
    <t>DD13</t>
  </si>
  <si>
    <t>DD14</t>
  </si>
  <si>
    <t>DD15</t>
  </si>
  <si>
    <t>DD16</t>
  </si>
  <si>
    <t>DD17</t>
  </si>
  <si>
    <t>DD18</t>
  </si>
  <si>
    <t>DD19</t>
  </si>
  <si>
    <t>DD20</t>
  </si>
  <si>
    <t>EE2</t>
  </si>
  <si>
    <t>EE3</t>
  </si>
  <si>
    <t>EE4</t>
  </si>
  <si>
    <t>EE5</t>
  </si>
  <si>
    <t>EE6</t>
  </si>
  <si>
    <t>EE7</t>
  </si>
  <si>
    <t>EE8</t>
  </si>
  <si>
    <t>EE9</t>
  </si>
  <si>
    <t>EE10</t>
  </si>
  <si>
    <t>EE11</t>
  </si>
  <si>
    <t>EE12</t>
  </si>
  <si>
    <t>EE13</t>
  </si>
  <si>
    <t>EE14</t>
  </si>
  <si>
    <t>EE15</t>
  </si>
  <si>
    <t>EE16</t>
  </si>
  <si>
    <t>EE17</t>
  </si>
  <si>
    <t>EE18</t>
  </si>
  <si>
    <t>EE19</t>
  </si>
  <si>
    <t>EE20</t>
  </si>
  <si>
    <t>FF2</t>
  </si>
  <si>
    <t>FF3</t>
  </si>
  <si>
    <t>FF4</t>
  </si>
  <si>
    <t>FF5</t>
  </si>
  <si>
    <t>FF6</t>
  </si>
  <si>
    <t>FF7</t>
  </si>
  <si>
    <t>FF8</t>
  </si>
  <si>
    <t>FF9</t>
  </si>
  <si>
    <t>FF10</t>
  </si>
  <si>
    <t>FF11</t>
  </si>
  <si>
    <t>FF12</t>
  </si>
  <si>
    <t>FF13</t>
  </si>
  <si>
    <t>FF14</t>
  </si>
  <si>
    <t>FF15</t>
  </si>
  <si>
    <t>FF16</t>
  </si>
  <si>
    <t>FF17</t>
  </si>
  <si>
    <t>FF18</t>
  </si>
  <si>
    <t>FF19</t>
  </si>
  <si>
    <t>FF20</t>
  </si>
  <si>
    <t>GG2</t>
  </si>
  <si>
    <t>GG3</t>
  </si>
  <si>
    <t>GG4</t>
  </si>
  <si>
    <t>GG5</t>
  </si>
  <si>
    <t>GG6</t>
  </si>
  <si>
    <t>GG7</t>
  </si>
  <si>
    <t>GG8</t>
  </si>
  <si>
    <t>GG9</t>
  </si>
  <si>
    <t>GG10</t>
  </si>
  <si>
    <t>GG11</t>
  </si>
  <si>
    <t>GG12</t>
  </si>
  <si>
    <t>GG13</t>
  </si>
  <si>
    <t>GG14</t>
  </si>
  <si>
    <t>GG15</t>
  </si>
  <si>
    <t>GG16</t>
  </si>
  <si>
    <t>GG17</t>
  </si>
  <si>
    <t>GG18</t>
  </si>
  <si>
    <t>GG19</t>
  </si>
  <si>
    <t>GG20</t>
  </si>
  <si>
    <t>HH2</t>
  </si>
  <si>
    <t>HH3</t>
  </si>
  <si>
    <t>HH4</t>
  </si>
  <si>
    <t>HH5</t>
  </si>
  <si>
    <t>HH6</t>
  </si>
  <si>
    <t>HH7</t>
  </si>
  <si>
    <t>HH8</t>
  </si>
  <si>
    <t>HH9</t>
  </si>
  <si>
    <t>HH10</t>
  </si>
  <si>
    <t>HH11</t>
  </si>
  <si>
    <t>HH12</t>
  </si>
  <si>
    <t>HH13</t>
  </si>
  <si>
    <t>HH14</t>
  </si>
  <si>
    <t>HH15</t>
  </si>
  <si>
    <t>HH16</t>
  </si>
  <si>
    <t>HH17</t>
  </si>
  <si>
    <t>HH18</t>
  </si>
  <si>
    <t>HH19</t>
  </si>
  <si>
    <t>HH20</t>
  </si>
  <si>
    <t>II2</t>
  </si>
  <si>
    <t>II3</t>
  </si>
  <si>
    <t>II4</t>
  </si>
  <si>
    <t>II5</t>
  </si>
  <si>
    <t>II6</t>
  </si>
  <si>
    <t>II7</t>
  </si>
  <si>
    <t>II8</t>
  </si>
  <si>
    <t>II9</t>
  </si>
  <si>
    <t>II10</t>
  </si>
  <si>
    <t>II11</t>
  </si>
  <si>
    <t>II12</t>
  </si>
  <si>
    <t>II13</t>
  </si>
  <si>
    <t>II14</t>
  </si>
  <si>
    <t>II15</t>
  </si>
  <si>
    <t>II16</t>
  </si>
  <si>
    <t>II17</t>
  </si>
  <si>
    <t>II18</t>
  </si>
  <si>
    <t>II19</t>
  </si>
  <si>
    <t>II20</t>
  </si>
  <si>
    <t>JJ2</t>
  </si>
  <si>
    <t>JJ3</t>
  </si>
  <si>
    <t>JJ4</t>
  </si>
  <si>
    <t>JJ5</t>
  </si>
  <si>
    <t>JJ6</t>
  </si>
  <si>
    <t>JJ7</t>
  </si>
  <si>
    <t>JJ8</t>
  </si>
  <si>
    <t>JJ9</t>
  </si>
  <si>
    <t>JJ10</t>
  </si>
  <si>
    <t>JJ11</t>
  </si>
  <si>
    <t>JJ12</t>
  </si>
  <si>
    <t>JJ13</t>
  </si>
  <si>
    <t>JJ14</t>
  </si>
  <si>
    <t>JJ15</t>
  </si>
  <si>
    <t>JJ16</t>
  </si>
  <si>
    <t>JJ17</t>
  </si>
  <si>
    <t>JJ18</t>
  </si>
  <si>
    <t>JJ19</t>
  </si>
  <si>
    <t>JJ20</t>
  </si>
  <si>
    <t>KK2</t>
  </si>
  <si>
    <t>KK3</t>
  </si>
  <si>
    <t>KK4</t>
  </si>
  <si>
    <t>KK5</t>
  </si>
  <si>
    <t>KK6</t>
  </si>
  <si>
    <t>KK7</t>
  </si>
  <si>
    <t>KK8</t>
  </si>
  <si>
    <t>KK9</t>
  </si>
  <si>
    <t>KK10</t>
  </si>
  <si>
    <t>KK11</t>
  </si>
  <si>
    <t>KK12</t>
  </si>
  <si>
    <t>KK13</t>
  </si>
  <si>
    <t>KK14</t>
  </si>
  <si>
    <t>KK15</t>
  </si>
  <si>
    <t>KK16</t>
  </si>
  <si>
    <t>KK17</t>
  </si>
  <si>
    <t>KK18</t>
  </si>
  <si>
    <t>KK19</t>
  </si>
  <si>
    <t>KK20</t>
  </si>
  <si>
    <t>LL2</t>
  </si>
  <si>
    <t>LL3</t>
  </si>
  <si>
    <t>LL4</t>
  </si>
  <si>
    <t>LL5</t>
  </si>
  <si>
    <t>LL6</t>
  </si>
  <si>
    <t>LL7</t>
  </si>
  <si>
    <t>LL8</t>
  </si>
  <si>
    <t>LL9</t>
  </si>
  <si>
    <t>LL10</t>
  </si>
  <si>
    <t>LL11</t>
  </si>
  <si>
    <t>LL12</t>
  </si>
  <si>
    <t>LL13</t>
  </si>
  <si>
    <t>LL14</t>
  </si>
  <si>
    <t>LL15</t>
  </si>
  <si>
    <t>LL16</t>
  </si>
  <si>
    <t>LL17</t>
  </si>
  <si>
    <t>LL18</t>
  </si>
  <si>
    <t>LL19</t>
  </si>
  <si>
    <t>LL20</t>
  </si>
  <si>
    <t>MM2</t>
  </si>
  <si>
    <t>MM3</t>
  </si>
  <si>
    <t>MM4</t>
  </si>
  <si>
    <t>MM5</t>
  </si>
  <si>
    <t>MM6</t>
  </si>
  <si>
    <t>MM7</t>
  </si>
  <si>
    <t>MM8</t>
  </si>
  <si>
    <t>MM9</t>
  </si>
  <si>
    <t>MM10</t>
  </si>
  <si>
    <t>MM11</t>
  </si>
  <si>
    <t>MM12</t>
  </si>
  <si>
    <t>MM13</t>
  </si>
  <si>
    <t>MM14</t>
  </si>
  <si>
    <t>MM15</t>
  </si>
  <si>
    <t>MM16</t>
  </si>
  <si>
    <t>MM17</t>
  </si>
  <si>
    <t>MM18</t>
  </si>
  <si>
    <t>MM19</t>
  </si>
  <si>
    <t>MM20</t>
  </si>
  <si>
    <t>NN2</t>
  </si>
  <si>
    <t>NN3</t>
  </si>
  <si>
    <t>NN4</t>
  </si>
  <si>
    <t>NN5</t>
  </si>
  <si>
    <t>NN6</t>
  </si>
  <si>
    <t>NN7</t>
  </si>
  <si>
    <t>NN8</t>
  </si>
  <si>
    <t>NN9</t>
  </si>
  <si>
    <t>NN10</t>
  </si>
  <si>
    <t>NN11</t>
  </si>
  <si>
    <t>NN12</t>
  </si>
  <si>
    <t>NN13</t>
  </si>
  <si>
    <t>NN14</t>
  </si>
  <si>
    <t>NN15</t>
  </si>
  <si>
    <t>NN16</t>
  </si>
  <si>
    <t>NN17</t>
  </si>
  <si>
    <t>NN18</t>
  </si>
  <si>
    <t>NN19</t>
  </si>
  <si>
    <t>NN20</t>
  </si>
  <si>
    <t>OO2</t>
  </si>
  <si>
    <t>OO3</t>
  </si>
  <si>
    <t>OO4</t>
  </si>
  <si>
    <t>OO5</t>
  </si>
  <si>
    <t>OO6</t>
  </si>
  <si>
    <t>OO7</t>
  </si>
  <si>
    <t>OO8</t>
  </si>
  <si>
    <t>OO9</t>
  </si>
  <si>
    <t>OO10</t>
  </si>
  <si>
    <t>OO11</t>
  </si>
  <si>
    <t>OO12</t>
  </si>
  <si>
    <t>OO13</t>
  </si>
  <si>
    <t>OO14</t>
  </si>
  <si>
    <t>OO15</t>
  </si>
  <si>
    <t>OO16</t>
  </si>
  <si>
    <t>OO17</t>
  </si>
  <si>
    <t>OO18</t>
  </si>
  <si>
    <t>OO19</t>
  </si>
  <si>
    <t>OO20</t>
  </si>
  <si>
    <t>PP2</t>
  </si>
  <si>
    <t>PP3</t>
  </si>
  <si>
    <t>PP4</t>
  </si>
  <si>
    <t>PP5</t>
  </si>
  <si>
    <t>PP6</t>
  </si>
  <si>
    <t>PP7</t>
  </si>
  <si>
    <t>PP8</t>
  </si>
  <si>
    <t>PP9</t>
  </si>
  <si>
    <t>PP10</t>
  </si>
  <si>
    <t>PP11</t>
  </si>
  <si>
    <t>PP12</t>
  </si>
  <si>
    <t>PP13</t>
  </si>
  <si>
    <t>PP14</t>
  </si>
  <si>
    <t>PP15</t>
  </si>
  <si>
    <t>PP16</t>
  </si>
  <si>
    <t>PP17</t>
  </si>
  <si>
    <t>PP18</t>
  </si>
  <si>
    <t>PP19</t>
  </si>
  <si>
    <t>PP20</t>
  </si>
  <si>
    <t>QQ2</t>
  </si>
  <si>
    <t>QQ3</t>
  </si>
  <si>
    <t>QQ4</t>
  </si>
  <si>
    <t>QQ5</t>
  </si>
  <si>
    <t>QQ6</t>
  </si>
  <si>
    <t>QQ7</t>
  </si>
  <si>
    <t>QQ8</t>
  </si>
  <si>
    <t>QQ9</t>
  </si>
  <si>
    <t>QQ10</t>
  </si>
  <si>
    <t>QQ11</t>
  </si>
  <si>
    <t>QQ12</t>
  </si>
  <si>
    <t>QQ13</t>
  </si>
  <si>
    <t>QQ14</t>
  </si>
  <si>
    <t>QQ15</t>
  </si>
  <si>
    <t>QQ16</t>
  </si>
  <si>
    <t>QQ17</t>
  </si>
  <si>
    <t>QQ18</t>
  </si>
  <si>
    <t>QQ19</t>
  </si>
  <si>
    <t>QQ20</t>
  </si>
  <si>
    <t>RR2</t>
  </si>
  <si>
    <t>RR3</t>
  </si>
  <si>
    <t>RR4</t>
  </si>
  <si>
    <t>RR5</t>
  </si>
  <si>
    <t>RR6</t>
  </si>
  <si>
    <t>RR7</t>
  </si>
  <si>
    <t>RR8</t>
  </si>
  <si>
    <t>RR9</t>
  </si>
  <si>
    <t>RR10</t>
  </si>
  <si>
    <t>RR11</t>
  </si>
  <si>
    <t>RR12</t>
  </si>
  <si>
    <t>RR13</t>
  </si>
  <si>
    <t>RR14</t>
  </si>
  <si>
    <t>RR15</t>
  </si>
  <si>
    <t>RR16</t>
  </si>
  <si>
    <t>RR17</t>
  </si>
  <si>
    <t>RR18</t>
  </si>
  <si>
    <t>RR19</t>
  </si>
  <si>
    <t>RR20</t>
  </si>
  <si>
    <t>SS2</t>
  </si>
  <si>
    <t>SS3</t>
  </si>
  <si>
    <t>SS4</t>
  </si>
  <si>
    <t>SS5</t>
  </si>
  <si>
    <t>SS6</t>
  </si>
  <si>
    <t>SS7</t>
  </si>
  <si>
    <t>SS8</t>
  </si>
  <si>
    <t>SS9</t>
  </si>
  <si>
    <t>SS10</t>
  </si>
  <si>
    <t>SS11</t>
  </si>
  <si>
    <t>SS12</t>
  </si>
  <si>
    <t>SS13</t>
  </si>
  <si>
    <t>SS14</t>
  </si>
  <si>
    <t>SS15</t>
  </si>
  <si>
    <t>SS16</t>
  </si>
  <si>
    <t>SS17</t>
  </si>
  <si>
    <t>SS18</t>
  </si>
  <si>
    <t>SS19</t>
  </si>
  <si>
    <t>SS20</t>
  </si>
  <si>
    <t>TT2</t>
  </si>
  <si>
    <t>TT3</t>
  </si>
  <si>
    <t>TT4</t>
  </si>
  <si>
    <t>TT5</t>
  </si>
  <si>
    <t>TT6</t>
  </si>
  <si>
    <t>TT7</t>
  </si>
  <si>
    <t>TT8</t>
  </si>
  <si>
    <t>TT9</t>
  </si>
  <si>
    <t>TT10</t>
  </si>
  <si>
    <t>TT11</t>
  </si>
  <si>
    <t>TT12</t>
  </si>
  <si>
    <t>TT13</t>
  </si>
  <si>
    <t>TT14</t>
  </si>
  <si>
    <t>TT15</t>
  </si>
  <si>
    <t>TT16</t>
  </si>
  <si>
    <t>TT17</t>
  </si>
  <si>
    <t>TT18</t>
  </si>
  <si>
    <t>TT19</t>
  </si>
  <si>
    <t>TT20</t>
  </si>
  <si>
    <t>UU2</t>
  </si>
  <si>
    <t>UU3</t>
  </si>
  <si>
    <t>UU4</t>
  </si>
  <si>
    <t>UU5</t>
  </si>
  <si>
    <t>UU6</t>
  </si>
  <si>
    <t>UU7</t>
  </si>
  <si>
    <t>UU8</t>
  </si>
  <si>
    <t>UU9</t>
  </si>
  <si>
    <t>UU10</t>
  </si>
  <si>
    <t>UU11</t>
  </si>
  <si>
    <t>UU12</t>
  </si>
  <si>
    <t>UU13</t>
  </si>
  <si>
    <t>UU14</t>
  </si>
  <si>
    <t>UU15</t>
  </si>
  <si>
    <t>UU16</t>
  </si>
  <si>
    <t>UU17</t>
  </si>
  <si>
    <t>UU18</t>
  </si>
  <si>
    <t>UU19</t>
  </si>
  <si>
    <t>UU20</t>
  </si>
  <si>
    <t>VV2</t>
  </si>
  <si>
    <t>VV3</t>
  </si>
  <si>
    <t>VV4</t>
  </si>
  <si>
    <t>VV5</t>
  </si>
  <si>
    <t>VV6</t>
  </si>
  <si>
    <t>VV7</t>
  </si>
  <si>
    <t>VV8</t>
  </si>
  <si>
    <t>VV9</t>
  </si>
  <si>
    <t>VV10</t>
  </si>
  <si>
    <t>VV11</t>
  </si>
  <si>
    <t>VV12</t>
  </si>
  <si>
    <t>VV13</t>
  </si>
  <si>
    <t>VV14</t>
  </si>
  <si>
    <t>VV15</t>
  </si>
  <si>
    <t>VV16</t>
  </si>
  <si>
    <t>VV17</t>
  </si>
  <si>
    <t>VV18</t>
  </si>
  <si>
    <t>VV19</t>
  </si>
  <si>
    <t>VV20</t>
  </si>
  <si>
    <t>WW2</t>
  </si>
  <si>
    <t>WW3</t>
  </si>
  <si>
    <t>WW4</t>
  </si>
  <si>
    <t>WW5</t>
  </si>
  <si>
    <t>WW6</t>
  </si>
  <si>
    <t>WW7</t>
  </si>
  <si>
    <t>WW8</t>
  </si>
  <si>
    <t>WW9</t>
  </si>
  <si>
    <t>WW10</t>
  </si>
  <si>
    <t>WW11</t>
  </si>
  <si>
    <t>WW12</t>
  </si>
  <si>
    <t>WW13</t>
  </si>
  <si>
    <t>WW14</t>
  </si>
  <si>
    <t>WW15</t>
  </si>
  <si>
    <t>WW16</t>
  </si>
  <si>
    <t>WW17</t>
  </si>
  <si>
    <t>WW18</t>
  </si>
  <si>
    <t>WW19</t>
  </si>
  <si>
    <t>WW20</t>
  </si>
  <si>
    <t>XX4</t>
  </si>
  <si>
    <t>XX5</t>
  </si>
  <si>
    <t>XX6</t>
  </si>
  <si>
    <t>XX7</t>
  </si>
  <si>
    <t>XX8</t>
  </si>
  <si>
    <t>XX9</t>
  </si>
  <si>
    <t>XX10</t>
  </si>
  <si>
    <t>XX11</t>
  </si>
  <si>
    <t>XX12</t>
  </si>
  <si>
    <t>XX13</t>
  </si>
  <si>
    <t>XX14</t>
  </si>
  <si>
    <t>XX15</t>
  </si>
  <si>
    <t>XX16</t>
  </si>
  <si>
    <t>XX17</t>
  </si>
  <si>
    <t>XX18</t>
  </si>
  <si>
    <t>XX19</t>
  </si>
  <si>
    <t>XX20</t>
  </si>
  <si>
    <t>YY2</t>
  </si>
  <si>
    <t>YY3</t>
  </si>
  <si>
    <t>YY4</t>
  </si>
  <si>
    <t>YY5</t>
  </si>
  <si>
    <t>YY6</t>
  </si>
  <si>
    <t>YY7</t>
  </si>
  <si>
    <t>YY8</t>
  </si>
  <si>
    <t>YY9</t>
  </si>
  <si>
    <t>YY10</t>
  </si>
  <si>
    <t>YY11</t>
  </si>
  <si>
    <t>YY12</t>
  </si>
  <si>
    <t>YY13</t>
  </si>
  <si>
    <t>YY14</t>
  </si>
  <si>
    <t>YY15</t>
  </si>
  <si>
    <t>YY16</t>
  </si>
  <si>
    <t>YY17</t>
  </si>
  <si>
    <t>YY18</t>
  </si>
  <si>
    <t>YY19</t>
  </si>
  <si>
    <t>YY20</t>
  </si>
  <si>
    <t>ZZ2</t>
  </si>
  <si>
    <t>ZZ3</t>
  </si>
  <si>
    <t>ZZ4</t>
  </si>
  <si>
    <t>ZZ5</t>
  </si>
  <si>
    <t>ZZ6</t>
  </si>
  <si>
    <t>ZZ7</t>
  </si>
  <si>
    <t>ZZ8</t>
  </si>
  <si>
    <t>ZZ9</t>
  </si>
  <si>
    <t>ZZ10</t>
  </si>
  <si>
    <t>ZZ11</t>
  </si>
  <si>
    <t>ZZ12</t>
  </si>
  <si>
    <t>ZZ13</t>
  </si>
  <si>
    <t>ZZ14</t>
  </si>
  <si>
    <t>ZZ15</t>
  </si>
  <si>
    <t>ZZ16</t>
  </si>
  <si>
    <t>ZZ17</t>
  </si>
  <si>
    <t>ZZ18</t>
  </si>
  <si>
    <t>ZZ19</t>
  </si>
  <si>
    <t>ZZ20</t>
  </si>
  <si>
    <t>rs-1107</t>
  </si>
  <si>
    <t>rs-1110</t>
  </si>
  <si>
    <t>Motor Style</t>
  </si>
  <si>
    <t>Dumb</t>
  </si>
  <si>
    <t>Sign (Hem Bar):</t>
  </si>
  <si>
    <t>Sign (Tube):</t>
  </si>
  <si>
    <t>Sign (Pocket/Spine):</t>
  </si>
  <si>
    <t xml:space="preserve">  Please note that all payments made with credit cards will be charged an additional 4% processing fee.</t>
  </si>
  <si>
    <t xml:space="preserve">*Upon acceptance of our quotation, please refer to our Terms &amp; Conditions as stated on our website. www.coltoninc.com </t>
  </si>
  <si>
    <t>PAGE</t>
  </si>
  <si>
    <t>Ultra 30</t>
  </si>
  <si>
    <t>Motor Position</t>
  </si>
  <si>
    <t>M</t>
  </si>
  <si>
    <t>C</t>
  </si>
  <si>
    <t>I</t>
  </si>
  <si>
    <t>Mount Position</t>
  </si>
  <si>
    <t>IB</t>
  </si>
  <si>
    <t>OB</t>
  </si>
  <si>
    <t>ROW</t>
  </si>
  <si>
    <t>Q5</t>
  </si>
  <si>
    <t>Q6</t>
  </si>
  <si>
    <t>Q7</t>
  </si>
  <si>
    <t>Q8</t>
  </si>
  <si>
    <t>Q9</t>
  </si>
  <si>
    <t>Q10</t>
  </si>
  <si>
    <t>Q11</t>
  </si>
  <si>
    <t>Q12</t>
  </si>
  <si>
    <t>Q13</t>
  </si>
  <si>
    <t>Q14</t>
  </si>
  <si>
    <t>Q15</t>
  </si>
  <si>
    <t>Q16</t>
  </si>
  <si>
    <t>Q17</t>
  </si>
  <si>
    <t>Q18</t>
  </si>
  <si>
    <t>Q19</t>
  </si>
  <si>
    <t>Q20</t>
  </si>
  <si>
    <t>completed by</t>
  </si>
  <si>
    <t>date completed</t>
  </si>
  <si>
    <t>SHADE SHOP COPY</t>
  </si>
  <si>
    <t>Job number</t>
  </si>
  <si>
    <t>Installation Copy</t>
  </si>
  <si>
    <t>Completion Date:</t>
  </si>
  <si>
    <t>Installer:</t>
  </si>
  <si>
    <t>Texstyle SilverScreen</t>
  </si>
  <si>
    <t>2%, 4%</t>
  </si>
  <si>
    <t>$</t>
  </si>
  <si>
    <t>Pago Pago Temple Endowment Change Order</t>
  </si>
  <si>
    <t>Mikayah Siufanua</t>
  </si>
  <si>
    <t>msiufanua@westlandconstruction.com</t>
  </si>
  <si>
    <t>Lowell Nash</t>
  </si>
  <si>
    <t>385-329-7422</t>
  </si>
  <si>
    <t>684-256-4061</t>
  </si>
  <si>
    <t>lnash@westlandconstruction.com</t>
  </si>
  <si>
    <t>Westland Construction</t>
  </si>
  <si>
    <t>PO Box J</t>
  </si>
  <si>
    <t>Pago Pago, American Samoa, 96799</t>
  </si>
  <si>
    <t>Pago Pago, American Samoa</t>
  </si>
  <si>
    <t>Heidi Galieti</t>
  </si>
  <si>
    <t>VX Intimate Sing BO, Ivory</t>
  </si>
  <si>
    <t>Panel width - 30 3/8" center on tube</t>
  </si>
  <si>
    <t>Panel width - 43 3/4"center on tube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</si>
</sst>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  <numFmt numFmtId="165" formatCode="_(&quot;$&quot;* #,##0.0000_);_(&quot;$&quot;* \(#,##0.0000\);_(&quot;$&quot;* &quot;-&quot;????_);_(@_)"/>
    <numFmt numFmtId="166" formatCode="[$-409]d\-mmm\-yy;@"/>
  </numFmts>
  <fonts count="61" x14ac:knownFonts="1">
    <font>
      <sz val="10"/>
      <name val="Arial"/>
    </font>
    <font>
      <sz val="10"/>
      <name val="Arial"/>
      <family val="2"/>
    </font>
    <font>
      <sz val="8"/>
      <name val="MS Sans Serif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26"/>
      <name val="Arial"/>
      <family val="2"/>
    </font>
    <font>
      <b/>
      <sz val="10"/>
      <name val="MS Sans Serif"/>
      <family val="2"/>
    </font>
    <font>
      <sz val="18"/>
      <name val="MS Sans Serif"/>
      <family val="2"/>
    </font>
    <font>
      <b/>
      <sz val="24"/>
      <name val="MS Sans Serif"/>
      <family val="2"/>
    </font>
    <font>
      <sz val="14"/>
      <name val="Arial"/>
      <family val="2"/>
    </font>
    <font>
      <sz val="12"/>
      <name val="Arial"/>
      <family val="2"/>
    </font>
    <font>
      <b/>
      <sz val="14"/>
      <name val="MS Sans Serif"/>
      <family val="2"/>
    </font>
    <font>
      <b/>
      <sz val="14"/>
      <name val="Arial"/>
      <family val="2"/>
    </font>
    <font>
      <sz val="10"/>
      <name val="Arial"/>
      <family val="2"/>
    </font>
    <font>
      <sz val="24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sz val="10"/>
      <name val="Arial"/>
      <family val="2"/>
    </font>
    <font>
      <sz val="20"/>
      <name val="Arial"/>
      <family val="2"/>
    </font>
    <font>
      <sz val="18"/>
      <name val="Arial"/>
      <family val="2"/>
    </font>
    <font>
      <sz val="16"/>
      <name val="Arial"/>
      <family val="2"/>
    </font>
    <font>
      <sz val="10"/>
      <name val="MS Sans Serif"/>
      <family val="2"/>
    </font>
    <font>
      <b/>
      <sz val="9"/>
      <name val="Arial"/>
      <family val="2"/>
    </font>
    <font>
      <sz val="9"/>
      <name val="Arial"/>
      <family val="2"/>
    </font>
    <font>
      <sz val="18"/>
      <color indexed="10"/>
      <name val="Arial"/>
      <family val="2"/>
    </font>
    <font>
      <i/>
      <sz val="18"/>
      <color indexed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sz val="7"/>
      <name val="MS Sans Serif"/>
      <family val="2"/>
    </font>
    <font>
      <u/>
      <sz val="7.5"/>
      <color indexed="12"/>
      <name val="MS Sans Serif"/>
      <family val="2"/>
    </font>
    <font>
      <b/>
      <sz val="28"/>
      <name val="Arial"/>
      <family val="2"/>
    </font>
    <font>
      <b/>
      <i/>
      <sz val="12"/>
      <color indexed="16"/>
      <name val="Arial"/>
      <family val="2"/>
    </font>
    <font>
      <sz val="10"/>
      <name val="Arial"/>
      <family val="2"/>
    </font>
    <font>
      <b/>
      <sz val="10"/>
      <name val="Arial Narrow"/>
      <family val="2"/>
    </font>
    <font>
      <b/>
      <sz val="8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9"/>
      <name val="MS Sans Serif"/>
    </font>
    <font>
      <sz val="10"/>
      <color rgb="FFFF0000"/>
      <name val="Arial"/>
      <family val="2"/>
    </font>
    <font>
      <sz val="8"/>
      <color rgb="FF000000"/>
      <name val="Tahoma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8"/>
      <color theme="0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sz val="10"/>
      <color rgb="FFC00000"/>
      <name val="Arial"/>
      <family val="2"/>
    </font>
    <font>
      <b/>
      <sz val="13.5"/>
      <name val="Arial"/>
      <family val="2"/>
    </font>
    <font>
      <b/>
      <i/>
      <sz val="24"/>
      <color indexed="10"/>
      <name val="Arial"/>
      <family val="2"/>
    </font>
    <font>
      <b/>
      <sz val="24"/>
      <name val="Arial"/>
      <family val="2"/>
    </font>
    <font>
      <b/>
      <sz val="14"/>
      <color rgb="FFFF0000"/>
      <name val="Arial"/>
      <family val="2"/>
    </font>
    <font>
      <b/>
      <sz val="10"/>
      <color rgb="FFFF0000"/>
      <name val="Arial"/>
      <family val="2"/>
    </font>
    <font>
      <i/>
      <sz val="9"/>
      <name val="Arial"/>
      <family val="2"/>
    </font>
    <font>
      <b/>
      <sz val="26"/>
      <name val="Arial"/>
      <family val="2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MS Sans Serif"/>
      <family val="2"/>
    </font>
  </fonts>
  <fills count="1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AB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B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22" fillId="0" borderId="0"/>
    <xf numFmtId="0" fontId="1" fillId="0" borderId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</cellStyleXfs>
  <cellXfs count="551">
    <xf numFmtId="0" fontId="0" fillId="0" borderId="0" xfId="0"/>
    <xf numFmtId="0" fontId="0" fillId="0" borderId="1" xfId="0" applyBorder="1"/>
    <xf numFmtId="0" fontId="0" fillId="0" borderId="2" xfId="0" applyBorder="1"/>
    <xf numFmtId="0" fontId="0" fillId="2" borderId="1" xfId="0" applyFill="1" applyBorder="1"/>
    <xf numFmtId="12" fontId="0" fillId="0" borderId="0" xfId="0" applyNumberFormat="1" applyAlignment="1">
      <alignment horizontal="center"/>
    </xf>
    <xf numFmtId="12" fontId="0" fillId="0" borderId="0" xfId="0" applyNumberFormat="1"/>
    <xf numFmtId="0" fontId="0" fillId="0" borderId="0" xfId="0" applyAlignment="1">
      <alignment horizontal="center"/>
    </xf>
    <xf numFmtId="0" fontId="11" fillId="0" borderId="0" xfId="0" applyFont="1"/>
    <xf numFmtId="44" fontId="0" fillId="0" borderId="0" xfId="4" applyFont="1"/>
    <xf numFmtId="37" fontId="0" fillId="0" borderId="0" xfId="4" applyNumberFormat="1" applyFont="1"/>
    <xf numFmtId="165" fontId="0" fillId="0" borderId="0" xfId="4" applyNumberFormat="1" applyFont="1"/>
    <xf numFmtId="164" fontId="0" fillId="0" borderId="0" xfId="0" applyNumberFormat="1"/>
    <xf numFmtId="0" fontId="4" fillId="0" borderId="2" xfId="0" applyFont="1" applyBorder="1"/>
    <xf numFmtId="44" fontId="4" fillId="0" borderId="2" xfId="4" applyFont="1" applyBorder="1"/>
    <xf numFmtId="37" fontId="4" fillId="0" borderId="2" xfId="4" applyNumberFormat="1" applyFont="1" applyBorder="1"/>
    <xf numFmtId="165" fontId="4" fillId="0" borderId="2" xfId="4" applyNumberFormat="1" applyFont="1" applyBorder="1"/>
    <xf numFmtId="164" fontId="4" fillId="0" borderId="2" xfId="0" applyNumberFormat="1" applyFont="1" applyBorder="1"/>
    <xf numFmtId="164" fontId="0" fillId="0" borderId="2" xfId="0" applyNumberFormat="1" applyBorder="1"/>
    <xf numFmtId="44" fontId="0" fillId="0" borderId="1" xfId="4" applyFont="1" applyBorder="1"/>
    <xf numFmtId="44" fontId="0" fillId="0" borderId="2" xfId="4" applyFont="1" applyBorder="1"/>
    <xf numFmtId="44" fontId="0" fillId="0" borderId="0" xfId="4" applyFont="1" applyBorder="1"/>
    <xf numFmtId="164" fontId="0" fillId="0" borderId="15" xfId="0" applyNumberFormat="1" applyBorder="1"/>
    <xf numFmtId="164" fontId="0" fillId="0" borderId="1" xfId="0" applyNumberFormat="1" applyBorder="1"/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44" fontId="18" fillId="0" borderId="2" xfId="4" applyFont="1" applyBorder="1"/>
    <xf numFmtId="0" fontId="14" fillId="0" borderId="2" xfId="0" applyFont="1" applyBorder="1"/>
    <xf numFmtId="0" fontId="14" fillId="0" borderId="0" xfId="10" applyFont="1"/>
    <xf numFmtId="7" fontId="14" fillId="0" borderId="0" xfId="10" applyNumberFormat="1" applyFont="1"/>
    <xf numFmtId="0" fontId="14" fillId="0" borderId="0" xfId="10" applyFont="1" applyAlignment="1">
      <alignment horizontal="left"/>
    </xf>
    <xf numFmtId="7" fontId="14" fillId="0" borderId="0" xfId="10" applyNumberFormat="1" applyFont="1" applyAlignment="1">
      <alignment horizontal="left"/>
    </xf>
    <xf numFmtId="0" fontId="23" fillId="0" borderId="0" xfId="10" applyFont="1" applyAlignment="1">
      <alignment horizontal="left"/>
    </xf>
    <xf numFmtId="0" fontId="24" fillId="0" borderId="0" xfId="10" applyFont="1" applyAlignment="1">
      <alignment horizontal="left"/>
    </xf>
    <xf numFmtId="0" fontId="4" fillId="0" borderId="0" xfId="10" applyFont="1" applyAlignment="1">
      <alignment horizontal="left"/>
    </xf>
    <xf numFmtId="0" fontId="11" fillId="0" borderId="0" xfId="10" applyFont="1"/>
    <xf numFmtId="44" fontId="14" fillId="0" borderId="0" xfId="10" applyNumberFormat="1" applyFont="1"/>
    <xf numFmtId="10" fontId="14" fillId="0" borderId="0" xfId="10" applyNumberFormat="1" applyFont="1" applyAlignment="1">
      <alignment horizontal="left"/>
    </xf>
    <xf numFmtId="7" fontId="4" fillId="0" borderId="0" xfId="10" quotePrefix="1" applyNumberFormat="1" applyFont="1"/>
    <xf numFmtId="7" fontId="14" fillId="0" borderId="0" xfId="10" quotePrefix="1" applyNumberFormat="1" applyFont="1"/>
    <xf numFmtId="0" fontId="22" fillId="0" borderId="0" xfId="10"/>
    <xf numFmtId="0" fontId="14" fillId="0" borderId="1" xfId="10" applyFont="1" applyBorder="1"/>
    <xf numFmtId="0" fontId="4" fillId="0" borderId="0" xfId="10" applyFont="1"/>
    <xf numFmtId="0" fontId="4" fillId="0" borderId="0" xfId="10" applyFont="1" applyAlignment="1">
      <alignment horizontal="center"/>
    </xf>
    <xf numFmtId="7" fontId="4" fillId="0" borderId="0" xfId="10" applyNumberFormat="1" applyFont="1"/>
    <xf numFmtId="0" fontId="13" fillId="0" borderId="0" xfId="10" applyFont="1"/>
    <xf numFmtId="44" fontId="14" fillId="0" borderId="1" xfId="10" quotePrefix="1" applyNumberFormat="1" applyFont="1" applyBorder="1"/>
    <xf numFmtId="10" fontId="14" fillId="0" borderId="0" xfId="10" applyNumberFormat="1" applyFont="1"/>
    <xf numFmtId="44" fontId="1" fillId="0" borderId="0" xfId="3" applyFont="1" applyFill="1"/>
    <xf numFmtId="44" fontId="14" fillId="0" borderId="0" xfId="8" applyNumberFormat="1" applyFont="1" applyAlignment="1" applyProtection="1"/>
    <xf numFmtId="12" fontId="14" fillId="0" borderId="0" xfId="10" applyNumberFormat="1" applyFont="1" applyAlignment="1">
      <alignment horizontal="left"/>
    </xf>
    <xf numFmtId="0" fontId="0" fillId="0" borderId="0" xfId="0" applyAlignment="1">
      <alignment horizontal="left"/>
    </xf>
    <xf numFmtId="44" fontId="0" fillId="0" borderId="0" xfId="3" applyFont="1" applyFill="1"/>
    <xf numFmtId="0" fontId="30" fillId="0" borderId="0" xfId="0" applyFont="1"/>
    <xf numFmtId="0" fontId="33" fillId="0" borderId="0" xfId="0" applyFont="1"/>
    <xf numFmtId="0" fontId="2" fillId="0" borderId="0" xfId="0" applyFont="1" applyAlignment="1">
      <alignment horizontal="center"/>
    </xf>
    <xf numFmtId="0" fontId="1" fillId="0" borderId="0" xfId="11"/>
    <xf numFmtId="0" fontId="0" fillId="0" borderId="0" xfId="0" applyAlignment="1">
      <alignment horizontal="right"/>
    </xf>
    <xf numFmtId="0" fontId="28" fillId="0" borderId="0" xfId="11" applyFont="1"/>
    <xf numFmtId="44" fontId="1" fillId="0" borderId="0" xfId="3" applyFont="1" applyFill="1" applyAlignment="1">
      <alignment horizontal="right"/>
    </xf>
    <xf numFmtId="0" fontId="1" fillId="0" borderId="1" xfId="3" applyNumberFormat="1" applyFont="1" applyFill="1" applyBorder="1" applyAlignment="1">
      <alignment horizontal="left"/>
    </xf>
    <xf numFmtId="0" fontId="1" fillId="0" borderId="1" xfId="3" applyNumberFormat="1" applyFont="1" applyFill="1" applyBorder="1"/>
    <xf numFmtId="44" fontId="34" fillId="0" borderId="16" xfId="3" applyFont="1" applyFill="1" applyBorder="1"/>
    <xf numFmtId="0" fontId="1" fillId="0" borderId="0" xfId="3" applyNumberFormat="1" applyFont="1" applyFill="1" applyAlignment="1">
      <alignment horizontal="left"/>
    </xf>
    <xf numFmtId="0" fontId="1" fillId="0" borderId="0" xfId="3" applyNumberFormat="1" applyFont="1" applyFill="1"/>
    <xf numFmtId="0" fontId="1" fillId="0" borderId="2" xfId="3" applyNumberFormat="1" applyFont="1" applyFill="1" applyBorder="1"/>
    <xf numFmtId="44" fontId="1" fillId="0" borderId="0" xfId="7" applyFont="1" applyFill="1" applyAlignment="1">
      <alignment horizontal="right"/>
    </xf>
    <xf numFmtId="0" fontId="28" fillId="0" borderId="17" xfId="7" applyNumberFormat="1" applyFont="1" applyFill="1" applyBorder="1"/>
    <xf numFmtId="10" fontId="1" fillId="0" borderId="16" xfId="12" applyNumberFormat="1" applyFont="1" applyFill="1" applyBorder="1"/>
    <xf numFmtId="44" fontId="0" fillId="0" borderId="0" xfId="3" applyFont="1" applyFill="1" applyAlignment="1">
      <alignment horizontal="right"/>
    </xf>
    <xf numFmtId="44" fontId="14" fillId="0" borderId="16" xfId="3" applyFont="1" applyFill="1" applyBorder="1" applyAlignment="1">
      <alignment horizontal="center"/>
    </xf>
    <xf numFmtId="44" fontId="34" fillId="0" borderId="16" xfId="3" applyFont="1" applyFill="1" applyBorder="1" applyAlignment="1">
      <alignment horizontal="center"/>
    </xf>
    <xf numFmtId="0" fontId="29" fillId="0" borderId="0" xfId="11" applyFont="1"/>
    <xf numFmtId="44" fontId="0" fillId="0" borderId="0" xfId="3" applyFont="1" applyFill="1" applyAlignment="1"/>
    <xf numFmtId="0" fontId="4" fillId="0" borderId="0" xfId="0" applyFont="1"/>
    <xf numFmtId="0" fontId="3" fillId="0" borderId="0" xfId="0" applyFont="1"/>
    <xf numFmtId="12" fontId="3" fillId="0" borderId="0" xfId="0" applyNumberFormat="1" applyFont="1"/>
    <xf numFmtId="0" fontId="0" fillId="0" borderId="8" xfId="0" applyBorder="1" applyAlignment="1">
      <alignment horizontal="center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12" fontId="11" fillId="0" borderId="0" xfId="0" applyNumberFormat="1" applyFont="1" applyAlignment="1">
      <alignment horizontal="center"/>
    </xf>
    <xf numFmtId="44" fontId="11" fillId="0" borderId="0" xfId="3" applyFont="1" applyFill="1"/>
    <xf numFmtId="0" fontId="0" fillId="0" borderId="19" xfId="0" applyBorder="1"/>
    <xf numFmtId="10" fontId="1" fillId="0" borderId="0" xfId="7" applyNumberFormat="1" applyFont="1" applyFill="1"/>
    <xf numFmtId="0" fontId="16" fillId="0" borderId="0" xfId="0" applyFont="1"/>
    <xf numFmtId="0" fontId="0" fillId="0" borderId="25" xfId="0" applyBorder="1"/>
    <xf numFmtId="0" fontId="0" fillId="0" borderId="26" xfId="0" applyBorder="1"/>
    <xf numFmtId="0" fontId="15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12" fontId="10" fillId="0" borderId="0" xfId="0" applyNumberFormat="1" applyFont="1"/>
    <xf numFmtId="15" fontId="0" fillId="0" borderId="0" xfId="0" applyNumberFormat="1"/>
    <xf numFmtId="0" fontId="22" fillId="0" borderId="0" xfId="0" applyFont="1"/>
    <xf numFmtId="166" fontId="22" fillId="0" borderId="0" xfId="0" applyNumberFormat="1" applyFont="1" applyAlignment="1">
      <alignment horizontal="center"/>
    </xf>
    <xf numFmtId="0" fontId="38" fillId="0" borderId="0" xfId="10" applyFont="1" applyAlignment="1">
      <alignment horizontal="left"/>
    </xf>
    <xf numFmtId="0" fontId="14" fillId="0" borderId="0" xfId="0" applyFont="1" applyAlignment="1">
      <alignment horizontal="right"/>
    </xf>
    <xf numFmtId="0" fontId="39" fillId="0" borderId="0" xfId="0" applyFont="1"/>
    <xf numFmtId="0" fontId="5" fillId="0" borderId="0" xfId="10" applyFont="1" applyAlignment="1">
      <alignment horizontal="left"/>
    </xf>
    <xf numFmtId="0" fontId="0" fillId="4" borderId="18" xfId="0" applyFill="1" applyBorder="1"/>
    <xf numFmtId="44" fontId="37" fillId="4" borderId="9" xfId="3" applyFont="1" applyFill="1" applyBorder="1"/>
    <xf numFmtId="44" fontId="37" fillId="4" borderId="8" xfId="3" applyFont="1" applyFill="1" applyBorder="1"/>
    <xf numFmtId="44" fontId="37" fillId="4" borderId="0" xfId="3" applyFont="1" applyFill="1"/>
    <xf numFmtId="44" fontId="11" fillId="4" borderId="1" xfId="3" applyFont="1" applyFill="1" applyBorder="1"/>
    <xf numFmtId="0" fontId="14" fillId="0" borderId="0" xfId="0" applyFont="1"/>
    <xf numFmtId="12" fontId="0" fillId="0" borderId="1" xfId="0" applyNumberFormat="1" applyBorder="1" applyAlignment="1">
      <alignment horizontal="center"/>
    </xf>
    <xf numFmtId="0" fontId="1" fillId="0" borderId="0" xfId="14"/>
    <xf numFmtId="0" fontId="4" fillId="0" borderId="0" xfId="14" applyFont="1"/>
    <xf numFmtId="12" fontId="0" fillId="0" borderId="9" xfId="0" applyNumberFormat="1" applyBorder="1"/>
    <xf numFmtId="0" fontId="0" fillId="5" borderId="19" xfId="0" applyFill="1" applyBorder="1"/>
    <xf numFmtId="0" fontId="0" fillId="5" borderId="2" xfId="0" applyFill="1" applyBorder="1"/>
    <xf numFmtId="12" fontId="0" fillId="5" borderId="9" xfId="0" applyNumberFormat="1" applyFill="1" applyBorder="1"/>
    <xf numFmtId="0" fontId="0" fillId="3" borderId="19" xfId="0" applyFill="1" applyBorder="1"/>
    <xf numFmtId="0" fontId="0" fillId="3" borderId="2" xfId="0" applyFill="1" applyBorder="1" applyAlignment="1">
      <alignment horizontal="center"/>
    </xf>
    <xf numFmtId="0" fontId="0" fillId="3" borderId="2" xfId="0" applyFill="1" applyBorder="1"/>
    <xf numFmtId="12" fontId="0" fillId="3" borderId="9" xfId="0" applyNumberFormat="1" applyFill="1" applyBorder="1" applyAlignment="1">
      <alignment horizontal="center"/>
    </xf>
    <xf numFmtId="0" fontId="1" fillId="0" borderId="25" xfId="14" applyBorder="1" applyAlignment="1">
      <alignment vertical="center"/>
    </xf>
    <xf numFmtId="0" fontId="1" fillId="0" borderId="24" xfId="14" applyBorder="1" applyAlignment="1">
      <alignment vertical="center"/>
    </xf>
    <xf numFmtId="0" fontId="1" fillId="0" borderId="28" xfId="14" applyBorder="1" applyAlignment="1">
      <alignment horizontal="right" vertical="center"/>
    </xf>
    <xf numFmtId="0" fontId="1" fillId="0" borderId="21" xfId="14" applyBorder="1" applyAlignment="1">
      <alignment vertical="center"/>
    </xf>
    <xf numFmtId="0" fontId="1" fillId="0" borderId="27" xfId="14" applyBorder="1" applyAlignment="1">
      <alignment vertical="center"/>
    </xf>
    <xf numFmtId="0" fontId="1" fillId="0" borderId="0" xfId="14" applyAlignment="1">
      <alignment vertical="center"/>
    </xf>
    <xf numFmtId="0" fontId="1" fillId="0" borderId="10" xfId="14" applyBorder="1" applyAlignment="1">
      <alignment vertical="center"/>
    </xf>
    <xf numFmtId="0" fontId="1" fillId="0" borderId="5" xfId="14" applyBorder="1" applyAlignment="1">
      <alignment horizontal="right" vertical="center"/>
    </xf>
    <xf numFmtId="0" fontId="1" fillId="0" borderId="0" xfId="14" applyAlignment="1">
      <alignment horizontal="right" vertical="center"/>
    </xf>
    <xf numFmtId="0" fontId="1" fillId="0" borderId="8" xfId="0" applyFont="1" applyBorder="1"/>
    <xf numFmtId="0" fontId="36" fillId="0" borderId="0" xfId="0" applyFont="1" applyAlignment="1">
      <alignment horizontal="center"/>
    </xf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44" fontId="37" fillId="0" borderId="0" xfId="3" applyFont="1" applyFill="1"/>
    <xf numFmtId="44" fontId="37" fillId="0" borderId="0" xfId="3" applyFont="1" applyFill="1" applyAlignment="1">
      <alignment horizontal="right"/>
    </xf>
    <xf numFmtId="10" fontId="37" fillId="0" borderId="0" xfId="3" applyNumberFormat="1" applyFont="1" applyFill="1"/>
    <xf numFmtId="44" fontId="4" fillId="0" borderId="0" xfId="3" applyFont="1" applyFill="1" applyAlignment="1">
      <alignment horizontal="right"/>
    </xf>
    <xf numFmtId="0" fontId="1" fillId="0" borderId="33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/>
    <xf numFmtId="0" fontId="4" fillId="0" borderId="1" xfId="0" applyFont="1" applyBorder="1" applyAlignment="1">
      <alignment horizontal="center"/>
    </xf>
    <xf numFmtId="0" fontId="0" fillId="0" borderId="33" xfId="0" applyBorder="1"/>
    <xf numFmtId="0" fontId="42" fillId="0" borderId="0" xfId="0" applyFont="1"/>
    <xf numFmtId="0" fontId="42" fillId="0" borderId="0" xfId="11" applyFont="1"/>
    <xf numFmtId="0" fontId="43" fillId="0" borderId="0" xfId="0" applyFont="1"/>
    <xf numFmtId="0" fontId="43" fillId="0" borderId="0" xfId="11" applyFont="1"/>
    <xf numFmtId="0" fontId="44" fillId="0" borderId="0" xfId="11" applyFont="1"/>
    <xf numFmtId="0" fontId="45" fillId="0" borderId="0" xfId="0" applyFont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36" fillId="0" borderId="0" xfId="0" applyFont="1" applyAlignment="1">
      <alignment horizontal="left" vertical="center"/>
    </xf>
    <xf numFmtId="0" fontId="1" fillId="0" borderId="14" xfId="0" applyFont="1" applyBorder="1"/>
    <xf numFmtId="0" fontId="1" fillId="0" borderId="7" xfId="0" applyFont="1" applyBorder="1"/>
    <xf numFmtId="164" fontId="1" fillId="0" borderId="0" xfId="14" applyNumberFormat="1"/>
    <xf numFmtId="165" fontId="0" fillId="0" borderId="0" xfId="15" applyNumberFormat="1" applyFont="1"/>
    <xf numFmtId="37" fontId="0" fillId="0" borderId="0" xfId="15" applyNumberFormat="1" applyFont="1"/>
    <xf numFmtId="44" fontId="0" fillId="0" borderId="0" xfId="15" applyFont="1"/>
    <xf numFmtId="0" fontId="1" fillId="2" borderId="0" xfId="14" applyFill="1"/>
    <xf numFmtId="165" fontId="0" fillId="0" borderId="0" xfId="15" applyNumberFormat="1" applyFont="1" applyBorder="1"/>
    <xf numFmtId="164" fontId="1" fillId="0" borderId="2" xfId="14" applyNumberFormat="1" applyBorder="1"/>
    <xf numFmtId="44" fontId="0" fillId="0" borderId="2" xfId="15" applyFont="1" applyBorder="1"/>
    <xf numFmtId="0" fontId="1" fillId="0" borderId="1" xfId="14" applyBorder="1"/>
    <xf numFmtId="0" fontId="1" fillId="2" borderId="1" xfId="14" applyFill="1" applyBorder="1"/>
    <xf numFmtId="0" fontId="1" fillId="0" borderId="2" xfId="14" applyBorder="1"/>
    <xf numFmtId="0" fontId="1" fillId="0" borderId="2" xfId="14" applyBorder="1" applyAlignment="1">
      <alignment wrapText="1"/>
    </xf>
    <xf numFmtId="0" fontId="1" fillId="2" borderId="2" xfId="14" applyFill="1" applyBorder="1"/>
    <xf numFmtId="164" fontId="1" fillId="0" borderId="1" xfId="14" applyNumberFormat="1" applyBorder="1"/>
    <xf numFmtId="44" fontId="0" fillId="0" borderId="1" xfId="15" applyFont="1" applyBorder="1"/>
    <xf numFmtId="0" fontId="1" fillId="0" borderId="1" xfId="14" applyBorder="1" applyAlignment="1">
      <alignment wrapText="1"/>
    </xf>
    <xf numFmtId="9" fontId="1" fillId="2" borderId="1" xfId="14" applyNumberFormat="1" applyFill="1" applyBorder="1"/>
    <xf numFmtId="0" fontId="19" fillId="2" borderId="1" xfId="14" applyFont="1" applyFill="1" applyBorder="1"/>
    <xf numFmtId="44" fontId="0" fillId="0" borderId="0" xfId="15" applyFont="1" applyBorder="1"/>
    <xf numFmtId="0" fontId="1" fillId="0" borderId="0" xfId="14" applyAlignment="1">
      <alignment wrapText="1"/>
    </xf>
    <xf numFmtId="9" fontId="1" fillId="2" borderId="0" xfId="14" applyNumberFormat="1" applyFill="1"/>
    <xf numFmtId="164" fontId="1" fillId="0" borderId="15" xfId="14" applyNumberFormat="1" applyBorder="1"/>
    <xf numFmtId="44" fontId="0" fillId="0" borderId="15" xfId="15" applyFont="1" applyBorder="1"/>
    <xf numFmtId="0" fontId="1" fillId="0" borderId="15" xfId="14" applyBorder="1"/>
    <xf numFmtId="0" fontId="1" fillId="0" borderId="15" xfId="14" applyBorder="1" applyAlignment="1">
      <alignment wrapText="1"/>
    </xf>
    <xf numFmtId="9" fontId="1" fillId="2" borderId="15" xfId="14" applyNumberFormat="1" applyFill="1" applyBorder="1"/>
    <xf numFmtId="0" fontId="1" fillId="2" borderId="15" xfId="14" applyFill="1" applyBorder="1"/>
    <xf numFmtId="9" fontId="1" fillId="2" borderId="2" xfId="14" applyNumberFormat="1" applyFill="1" applyBorder="1"/>
    <xf numFmtId="37" fontId="0" fillId="0" borderId="0" xfId="15" applyNumberFormat="1" applyFont="1" applyBorder="1"/>
    <xf numFmtId="0" fontId="19" fillId="2" borderId="0" xfId="14" applyFont="1" applyFill="1"/>
    <xf numFmtId="164" fontId="4" fillId="0" borderId="0" xfId="14" applyNumberFormat="1" applyFont="1"/>
    <xf numFmtId="165" fontId="4" fillId="0" borderId="1" xfId="15" applyNumberFormat="1" applyFont="1" applyBorder="1"/>
    <xf numFmtId="37" fontId="4" fillId="0" borderId="1" xfId="15" applyNumberFormat="1" applyFont="1" applyBorder="1"/>
    <xf numFmtId="44" fontId="4" fillId="0" borderId="1" xfId="15" applyFont="1" applyBorder="1"/>
    <xf numFmtId="0" fontId="4" fillId="0" borderId="1" xfId="14" applyFont="1" applyBorder="1"/>
    <xf numFmtId="165" fontId="4" fillId="0" borderId="0" xfId="15" applyNumberFormat="1" applyFont="1"/>
    <xf numFmtId="37" fontId="4" fillId="0" borderId="0" xfId="15" applyNumberFormat="1" applyFont="1"/>
    <xf numFmtId="44" fontId="4" fillId="0" borderId="0" xfId="15" applyFont="1"/>
    <xf numFmtId="164" fontId="1" fillId="0" borderId="0" xfId="14" quotePrefix="1" applyNumberFormat="1"/>
    <xf numFmtId="0" fontId="6" fillId="0" borderId="0" xfId="14" applyFont="1"/>
    <xf numFmtId="0" fontId="1" fillId="0" borderId="6" xfId="0" applyFont="1" applyBorder="1"/>
    <xf numFmtId="0" fontId="17" fillId="6" borderId="2" xfId="0" applyFont="1" applyFill="1" applyBorder="1"/>
    <xf numFmtId="0" fontId="0" fillId="6" borderId="2" xfId="0" applyFill="1" applyBorder="1"/>
    <xf numFmtId="0" fontId="0" fillId="6" borderId="0" xfId="0" applyFill="1"/>
    <xf numFmtId="0" fontId="0" fillId="6" borderId="1" xfId="0" applyFill="1" applyBorder="1"/>
    <xf numFmtId="0" fontId="19" fillId="6" borderId="1" xfId="0" applyFont="1" applyFill="1" applyBorder="1"/>
    <xf numFmtId="9" fontId="18" fillId="6" borderId="0" xfId="0" applyNumberFormat="1" applyFont="1" applyFill="1"/>
    <xf numFmtId="9" fontId="0" fillId="6" borderId="0" xfId="0" applyNumberFormat="1" applyFill="1"/>
    <xf numFmtId="9" fontId="0" fillId="6" borderId="2" xfId="0" applyNumberFormat="1" applyFill="1" applyBorder="1"/>
    <xf numFmtId="9" fontId="0" fillId="6" borderId="1" xfId="0" applyNumberFormat="1" applyFill="1" applyBorder="1"/>
    <xf numFmtId="0" fontId="14" fillId="6" borderId="2" xfId="0" applyFont="1" applyFill="1" applyBorder="1"/>
    <xf numFmtId="0" fontId="10" fillId="6" borderId="1" xfId="0" applyFont="1" applyFill="1" applyBorder="1"/>
    <xf numFmtId="0" fontId="13" fillId="6" borderId="1" xfId="0" applyFont="1" applyFill="1" applyBorder="1"/>
    <xf numFmtId="0" fontId="14" fillId="6" borderId="1" xfId="0" applyFont="1" applyFill="1" applyBorder="1"/>
    <xf numFmtId="0" fontId="14" fillId="6" borderId="0" xfId="0" applyFont="1" applyFill="1"/>
    <xf numFmtId="0" fontId="20" fillId="6" borderId="1" xfId="0" applyFont="1" applyFill="1" applyBorder="1"/>
    <xf numFmtId="0" fontId="21" fillId="6" borderId="1" xfId="0" applyFont="1" applyFill="1" applyBorder="1"/>
    <xf numFmtId="0" fontId="1" fillId="6" borderId="0" xfId="14" applyFill="1"/>
    <xf numFmtId="0" fontId="13" fillId="6" borderId="24" xfId="14" applyFont="1" applyFill="1" applyBorder="1"/>
    <xf numFmtId="0" fontId="1" fillId="6" borderId="25" xfId="14" applyFill="1" applyBorder="1"/>
    <xf numFmtId="0" fontId="1" fillId="6" borderId="27" xfId="14" applyFill="1" applyBorder="1"/>
    <xf numFmtId="0" fontId="1" fillId="6" borderId="21" xfId="14" applyFill="1" applyBorder="1"/>
    <xf numFmtId="44" fontId="0" fillId="6" borderId="21" xfId="15" applyFont="1" applyFill="1" applyBorder="1"/>
    <xf numFmtId="37" fontId="0" fillId="6" borderId="21" xfId="15" applyNumberFormat="1" applyFont="1" applyFill="1" applyBorder="1"/>
    <xf numFmtId="165" fontId="0" fillId="6" borderId="21" xfId="15" applyNumberFormat="1" applyFont="1" applyFill="1" applyBorder="1"/>
    <xf numFmtId="164" fontId="1" fillId="6" borderId="28" xfId="14" applyNumberFormat="1" applyFill="1" applyBorder="1"/>
    <xf numFmtId="44" fontId="0" fillId="6" borderId="25" xfId="15" applyFont="1" applyFill="1" applyBorder="1"/>
    <xf numFmtId="37" fontId="0" fillId="6" borderId="25" xfId="15" applyNumberFormat="1" applyFont="1" applyFill="1" applyBorder="1"/>
    <xf numFmtId="165" fontId="0" fillId="6" borderId="25" xfId="15" applyNumberFormat="1" applyFont="1" applyFill="1" applyBorder="1"/>
    <xf numFmtId="164" fontId="1" fillId="6" borderId="26" xfId="14" applyNumberFormat="1" applyFill="1" applyBorder="1"/>
    <xf numFmtId="0" fontId="40" fillId="6" borderId="25" xfId="14" applyFont="1" applyFill="1" applyBorder="1"/>
    <xf numFmtId="44" fontId="1" fillId="4" borderId="0" xfId="3" applyFont="1" applyFill="1"/>
    <xf numFmtId="0" fontId="3" fillId="0" borderId="27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6" fillId="0" borderId="3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1" fillId="0" borderId="8" xfId="0" applyFont="1" applyBorder="1" applyAlignment="1">
      <alignment horizontal="left"/>
    </xf>
    <xf numFmtId="12" fontId="0" fillId="0" borderId="0" xfId="3" applyNumberFormat="1" applyFont="1" applyFill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44" fontId="37" fillId="7" borderId="8" xfId="3" applyFont="1" applyFill="1" applyBorder="1"/>
    <xf numFmtId="44" fontId="0" fillId="7" borderId="8" xfId="3" applyFont="1" applyFill="1" applyBorder="1"/>
    <xf numFmtId="2" fontId="0" fillId="0" borderId="10" xfId="0" applyNumberFormat="1" applyBorder="1" applyAlignment="1">
      <alignment horizontal="center"/>
    </xf>
    <xf numFmtId="2" fontId="0" fillId="0" borderId="24" xfId="0" applyNumberForma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0" fillId="0" borderId="0" xfId="0" applyFont="1" applyAlignment="1">
      <alignment horizontal="center"/>
    </xf>
    <xf numFmtId="44" fontId="0" fillId="7" borderId="18" xfId="3" applyFont="1" applyFill="1" applyBorder="1"/>
    <xf numFmtId="0" fontId="38" fillId="0" borderId="0" xfId="0" applyFont="1" applyAlignment="1">
      <alignment horizontal="left" textRotation="45" wrapText="1"/>
    </xf>
    <xf numFmtId="0" fontId="46" fillId="0" borderId="7" xfId="0" applyFont="1" applyBorder="1" applyAlignment="1">
      <alignment horizontal="center" textRotation="45" wrapText="1"/>
    </xf>
    <xf numFmtId="0" fontId="46" fillId="0" borderId="7" xfId="0" applyFont="1" applyBorder="1" applyAlignment="1">
      <alignment horizontal="left" textRotation="45" wrapText="1"/>
    </xf>
    <xf numFmtId="12" fontId="46" fillId="0" borderId="7" xfId="0" applyNumberFormat="1" applyFont="1" applyBorder="1" applyAlignment="1">
      <alignment horizontal="left" textRotation="45" wrapText="1"/>
    </xf>
    <xf numFmtId="44" fontId="46" fillId="0" borderId="37" xfId="3" applyFont="1" applyFill="1" applyBorder="1" applyAlignment="1">
      <alignment horizontal="left" textRotation="45" wrapText="1"/>
    </xf>
    <xf numFmtId="0" fontId="46" fillId="0" borderId="37" xfId="3" applyNumberFormat="1" applyFont="1" applyFill="1" applyBorder="1" applyAlignment="1">
      <alignment horizontal="left" textRotation="45" wrapText="1"/>
    </xf>
    <xf numFmtId="44" fontId="46" fillId="0" borderId="0" xfId="3" applyFont="1" applyFill="1" applyAlignment="1">
      <alignment horizontal="left" textRotation="45" wrapText="1"/>
    </xf>
    <xf numFmtId="0" fontId="4" fillId="0" borderId="7" xfId="0" applyFont="1" applyBorder="1" applyAlignment="1">
      <alignment horizontal="center" textRotation="45" wrapText="1"/>
    </xf>
    <xf numFmtId="0" fontId="0" fillId="9" borderId="18" xfId="0" applyFill="1" applyBorder="1" applyAlignment="1">
      <alignment horizontal="center"/>
    </xf>
    <xf numFmtId="0" fontId="0" fillId="9" borderId="9" xfId="0" applyFill="1" applyBorder="1" applyAlignment="1">
      <alignment horizontal="center"/>
    </xf>
    <xf numFmtId="0" fontId="1" fillId="9" borderId="19" xfId="0" applyFont="1" applyFill="1" applyBorder="1"/>
    <xf numFmtId="0" fontId="40" fillId="9" borderId="2" xfId="0" applyFont="1" applyFill="1" applyBorder="1" applyAlignment="1">
      <alignment horizontal="center"/>
    </xf>
    <xf numFmtId="0" fontId="0" fillId="9" borderId="2" xfId="0" applyFill="1" applyBorder="1"/>
    <xf numFmtId="12" fontId="0" fillId="9" borderId="9" xfId="0" applyNumberFormat="1" applyFill="1" applyBorder="1" applyAlignment="1">
      <alignment horizontal="center"/>
    </xf>
    <xf numFmtId="0" fontId="46" fillId="0" borderId="1" xfId="0" applyFont="1" applyBorder="1" applyAlignment="1">
      <alignment horizontal="center"/>
    </xf>
    <xf numFmtId="0" fontId="38" fillId="0" borderId="0" xfId="0" applyFont="1" applyAlignment="1">
      <alignment horizontal="left" wrapText="1"/>
    </xf>
    <xf numFmtId="44" fontId="46" fillId="0" borderId="27" xfId="3" applyFont="1" applyFill="1" applyBorder="1" applyAlignment="1">
      <alignment horizontal="left" wrapText="1"/>
    </xf>
    <xf numFmtId="44" fontId="46" fillId="0" borderId="21" xfId="3" applyFont="1" applyFill="1" applyBorder="1" applyAlignment="1">
      <alignment horizontal="left" wrapText="1"/>
    </xf>
    <xf numFmtId="43" fontId="46" fillId="0" borderId="21" xfId="0" applyNumberFormat="1" applyFont="1" applyBorder="1" applyAlignment="1">
      <alignment horizontal="left" wrapText="1"/>
    </xf>
    <xf numFmtId="0" fontId="46" fillId="0" borderId="28" xfId="0" applyFont="1" applyBorder="1" applyAlignment="1">
      <alignment horizontal="left" wrapText="1"/>
    </xf>
    <xf numFmtId="0" fontId="46" fillId="0" borderId="27" xfId="0" applyFont="1" applyBorder="1" applyAlignment="1">
      <alignment horizontal="left" wrapText="1"/>
    </xf>
    <xf numFmtId="164" fontId="0" fillId="0" borderId="8" xfId="3" applyNumberFormat="1" applyFont="1" applyFill="1" applyBorder="1"/>
    <xf numFmtId="44" fontId="34" fillId="0" borderId="32" xfId="3" applyFont="1" applyFill="1" applyBorder="1"/>
    <xf numFmtId="2" fontId="0" fillId="0" borderId="0" xfId="0" applyNumberFormat="1" applyAlignment="1">
      <alignment horizontal="center"/>
    </xf>
    <xf numFmtId="0" fontId="0" fillId="0" borderId="27" xfId="0" applyBorder="1"/>
    <xf numFmtId="0" fontId="0" fillId="0" borderId="21" xfId="0" applyBorder="1"/>
    <xf numFmtId="0" fontId="0" fillId="0" borderId="21" xfId="0" applyBorder="1" applyAlignment="1">
      <alignment horizontal="center"/>
    </xf>
    <xf numFmtId="0" fontId="0" fillId="0" borderId="10" xfId="0" applyBorder="1"/>
    <xf numFmtId="44" fontId="1" fillId="0" borderId="19" xfId="0" applyNumberFormat="1" applyFont="1" applyBorder="1"/>
    <xf numFmtId="0" fontId="0" fillId="0" borderId="24" xfId="0" applyBorder="1"/>
    <xf numFmtId="0" fontId="0" fillId="0" borderId="25" xfId="0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/>
    <xf numFmtId="44" fontId="1" fillId="0" borderId="1" xfId="3" applyFont="1" applyFill="1" applyBorder="1" applyAlignment="1">
      <alignment horizontal="center"/>
    </xf>
    <xf numFmtId="44" fontId="46" fillId="0" borderId="28" xfId="3" applyFont="1" applyFill="1" applyBorder="1" applyAlignment="1">
      <alignment horizontal="left" wrapText="1"/>
    </xf>
    <xf numFmtId="2" fontId="0" fillId="0" borderId="5" xfId="0" applyNumberFormat="1" applyBorder="1" applyAlignment="1">
      <alignment horizontal="center"/>
    </xf>
    <xf numFmtId="2" fontId="0" fillId="0" borderId="26" xfId="0" applyNumberFormat="1" applyBorder="1" applyAlignment="1">
      <alignment horizontal="center"/>
    </xf>
    <xf numFmtId="2" fontId="1" fillId="0" borderId="0" xfId="0" applyNumberFormat="1" applyFont="1" applyAlignment="1">
      <alignment horizontal="center"/>
    </xf>
    <xf numFmtId="12" fontId="1" fillId="0" borderId="0" xfId="0" applyNumberFormat="1" applyFont="1"/>
    <xf numFmtId="0" fontId="46" fillId="0" borderId="0" xfId="0" applyFont="1" applyAlignment="1">
      <alignment horizontal="center"/>
    </xf>
    <xf numFmtId="2" fontId="1" fillId="0" borderId="10" xfId="0" applyNumberFormat="1" applyFont="1" applyBorder="1" applyAlignment="1">
      <alignment horizontal="center"/>
    </xf>
    <xf numFmtId="0" fontId="0" fillId="0" borderId="26" xfId="0" applyBorder="1" applyAlignment="1">
      <alignment horizontal="center"/>
    </xf>
    <xf numFmtId="2" fontId="0" fillId="0" borderId="8" xfId="0" applyNumberForma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43" fontId="46" fillId="0" borderId="27" xfId="1" applyFont="1" applyFill="1" applyBorder="1" applyAlignment="1">
      <alignment horizontal="left" wrapText="1"/>
    </xf>
    <xf numFmtId="12" fontId="0" fillId="0" borderId="10" xfId="3" applyNumberFormat="1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1" fillId="0" borderId="5" xfId="0" applyFont="1" applyBorder="1" applyAlignment="1">
      <alignment horizontal="center"/>
    </xf>
    <xf numFmtId="2" fontId="1" fillId="0" borderId="5" xfId="0" applyNumberFormat="1" applyFont="1" applyBorder="1" applyAlignment="1">
      <alignment horizontal="center"/>
    </xf>
    <xf numFmtId="2" fontId="1" fillId="0" borderId="24" xfId="0" applyNumberFormat="1" applyFont="1" applyBorder="1" applyAlignment="1">
      <alignment horizontal="center"/>
    </xf>
    <xf numFmtId="0" fontId="11" fillId="0" borderId="25" xfId="0" applyFont="1" applyBorder="1"/>
    <xf numFmtId="2" fontId="1" fillId="0" borderId="25" xfId="0" applyNumberFormat="1" applyFont="1" applyBorder="1" applyAlignment="1">
      <alignment horizontal="center"/>
    </xf>
    <xf numFmtId="0" fontId="1" fillId="9" borderId="8" xfId="0" applyFont="1" applyFill="1" applyBorder="1"/>
    <xf numFmtId="0" fontId="46" fillId="0" borderId="7" xfId="0" applyFont="1" applyBorder="1" applyAlignment="1">
      <alignment horizontal="right" textRotation="45" wrapText="1"/>
    </xf>
    <xf numFmtId="0" fontId="4" fillId="0" borderId="7" xfId="0" applyFont="1" applyBorder="1" applyAlignment="1">
      <alignment horizontal="right" textRotation="45" wrapText="1"/>
    </xf>
    <xf numFmtId="0" fontId="14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1" fillId="9" borderId="8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7" xfId="0" applyBorder="1"/>
    <xf numFmtId="0" fontId="46" fillId="0" borderId="21" xfId="0" applyFont="1" applyBorder="1" applyAlignment="1">
      <alignment horizontal="left" wrapText="1"/>
    </xf>
    <xf numFmtId="0" fontId="0" fillId="0" borderId="8" xfId="0" applyBorder="1"/>
    <xf numFmtId="0" fontId="46" fillId="0" borderId="0" xfId="0" applyFont="1" applyAlignment="1">
      <alignment horizontal="left" wrapText="1"/>
    </xf>
    <xf numFmtId="0" fontId="38" fillId="0" borderId="28" xfId="0" applyFont="1" applyBorder="1" applyAlignment="1">
      <alignment horizontal="left" wrapText="1"/>
    </xf>
    <xf numFmtId="0" fontId="0" fillId="0" borderId="5" xfId="0" applyBorder="1"/>
    <xf numFmtId="0" fontId="0" fillId="0" borderId="24" xfId="0" applyBorder="1" applyAlignment="1">
      <alignment horizontal="center"/>
    </xf>
    <xf numFmtId="0" fontId="40" fillId="0" borderId="0" xfId="0" applyFont="1" applyAlignment="1">
      <alignment horizontal="center" vertical="center" wrapText="1"/>
    </xf>
    <xf numFmtId="0" fontId="40" fillId="0" borderId="0" xfId="0" applyFont="1" applyAlignment="1">
      <alignment vertical="center" wrapText="1"/>
    </xf>
    <xf numFmtId="12" fontId="0" fillId="0" borderId="38" xfId="0" applyNumberFormat="1" applyBorder="1" applyAlignment="1">
      <alignment horizontal="center"/>
    </xf>
    <xf numFmtId="12" fontId="0" fillId="0" borderId="38" xfId="3" applyNumberFormat="1" applyFont="1" applyFill="1" applyBorder="1" applyAlignment="1">
      <alignment horizontal="center"/>
    </xf>
    <xf numFmtId="2" fontId="1" fillId="0" borderId="39" xfId="0" applyNumberFormat="1" applyFont="1" applyBorder="1" applyAlignment="1">
      <alignment horizontal="center"/>
    </xf>
    <xf numFmtId="0" fontId="40" fillId="0" borderId="25" xfId="0" applyFont="1" applyBorder="1" applyAlignment="1">
      <alignment vertical="center" wrapText="1"/>
    </xf>
    <xf numFmtId="0" fontId="47" fillId="0" borderId="34" xfId="0" applyFont="1" applyBorder="1" applyAlignment="1">
      <alignment horizontal="left" wrapText="1"/>
    </xf>
    <xf numFmtId="0" fontId="4" fillId="0" borderId="7" xfId="0" applyFont="1" applyBorder="1" applyAlignment="1">
      <alignment horizontal="left" wrapText="1"/>
    </xf>
    <xf numFmtId="0" fontId="46" fillId="0" borderId="1" xfId="0" applyFont="1" applyBorder="1" applyAlignment="1">
      <alignment horizontal="left" textRotation="45" wrapText="1"/>
    </xf>
    <xf numFmtId="0" fontId="1" fillId="5" borderId="7" xfId="0" applyFont="1" applyFill="1" applyBorder="1" applyAlignment="1" applyProtection="1">
      <alignment horizontal="center"/>
      <protection locked="0"/>
    </xf>
    <xf numFmtId="44" fontId="0" fillId="0" borderId="8" xfId="3" applyFont="1" applyFill="1" applyBorder="1"/>
    <xf numFmtId="44" fontId="37" fillId="10" borderId="0" xfId="3" applyFont="1" applyFill="1"/>
    <xf numFmtId="0" fontId="23" fillId="0" borderId="37" xfId="0" applyFont="1" applyBorder="1" applyAlignment="1">
      <alignment horizontal="left" wrapText="1"/>
    </xf>
    <xf numFmtId="0" fontId="0" fillId="4" borderId="9" xfId="0" applyFill="1" applyBorder="1"/>
    <xf numFmtId="0" fontId="4" fillId="0" borderId="36" xfId="0" applyFont="1" applyBorder="1" applyAlignment="1">
      <alignment horizontal="left" wrapText="1"/>
    </xf>
    <xf numFmtId="0" fontId="1" fillId="0" borderId="36" xfId="0" applyFont="1" applyBorder="1" applyAlignment="1">
      <alignment horizontal="center"/>
    </xf>
    <xf numFmtId="0" fontId="23" fillId="0" borderId="0" xfId="0" applyFont="1" applyAlignment="1">
      <alignment horizontal="left" textRotation="45" wrapText="1"/>
    </xf>
    <xf numFmtId="12" fontId="4" fillId="0" borderId="29" xfId="0" applyNumberFormat="1" applyFont="1" applyBorder="1" applyAlignment="1">
      <alignment horizontal="center"/>
    </xf>
    <xf numFmtId="12" fontId="4" fillId="0" borderId="32" xfId="0" applyNumberFormat="1" applyFont="1" applyBorder="1" applyAlignment="1">
      <alignment horizontal="center"/>
    </xf>
    <xf numFmtId="0" fontId="36" fillId="0" borderId="32" xfId="0" applyFont="1" applyBorder="1" applyAlignment="1">
      <alignment horizontal="left" vertical="center"/>
    </xf>
    <xf numFmtId="0" fontId="36" fillId="0" borderId="29" xfId="0" applyFont="1" applyBorder="1" applyAlignment="1">
      <alignment horizontal="left" vertical="center"/>
    </xf>
    <xf numFmtId="0" fontId="4" fillId="0" borderId="32" xfId="0" applyFont="1" applyBorder="1" applyAlignment="1">
      <alignment horizontal="center"/>
    </xf>
    <xf numFmtId="0" fontId="0" fillId="0" borderId="29" xfId="0" applyBorder="1"/>
    <xf numFmtId="0" fontId="0" fillId="0" borderId="29" xfId="0" applyBorder="1" applyAlignment="1">
      <alignment horizontal="center"/>
    </xf>
    <xf numFmtId="0" fontId="4" fillId="0" borderId="32" xfId="0" applyFont="1" applyBorder="1"/>
    <xf numFmtId="0" fontId="36" fillId="0" borderId="38" xfId="0" applyFont="1" applyBorder="1" applyAlignment="1">
      <alignment horizontal="left" vertical="center"/>
    </xf>
    <xf numFmtId="0" fontId="36" fillId="0" borderId="24" xfId="0" applyFont="1" applyBorder="1"/>
    <xf numFmtId="0" fontId="36" fillId="0" borderId="28" xfId="0" applyFont="1" applyBorder="1" applyAlignment="1">
      <alignment horizontal="left" vertical="center"/>
    </xf>
    <xf numFmtId="0" fontId="36" fillId="0" borderId="26" xfId="0" applyFont="1" applyBorder="1" applyAlignment="1">
      <alignment horizontal="left" vertical="center"/>
    </xf>
    <xf numFmtId="12" fontId="4" fillId="0" borderId="38" xfId="0" applyNumberFormat="1" applyFont="1" applyBorder="1" applyAlignment="1">
      <alignment horizontal="center"/>
    </xf>
    <xf numFmtId="12" fontId="0" fillId="0" borderId="8" xfId="0" applyNumberFormat="1" applyBorder="1" applyAlignment="1">
      <alignment horizontal="right"/>
    </xf>
    <xf numFmtId="12" fontId="46" fillId="0" borderId="7" xfId="0" applyNumberFormat="1" applyFont="1" applyBorder="1" applyAlignment="1">
      <alignment horizontal="center" textRotation="45" wrapText="1"/>
    </xf>
    <xf numFmtId="12" fontId="3" fillId="0" borderId="0" xfId="0" applyNumberFormat="1" applyFont="1" applyAlignment="1">
      <alignment horizontal="center"/>
    </xf>
    <xf numFmtId="0" fontId="0" fillId="0" borderId="8" xfId="0" applyBorder="1" applyAlignment="1">
      <alignment horizontal="left"/>
    </xf>
    <xf numFmtId="0" fontId="52" fillId="0" borderId="0" xfId="0" applyFont="1"/>
    <xf numFmtId="44" fontId="37" fillId="0" borderId="8" xfId="3" applyFont="1" applyFill="1" applyBorder="1"/>
    <xf numFmtId="44" fontId="37" fillId="0" borderId="37" xfId="3" applyFont="1" applyFill="1" applyBorder="1"/>
    <xf numFmtId="44" fontId="5" fillId="0" borderId="0" xfId="3" applyFont="1" applyFill="1" applyAlignment="1">
      <alignment horizontal="center" vertical="top"/>
    </xf>
    <xf numFmtId="0" fontId="53" fillId="0" borderId="0" xfId="11" applyFont="1" applyAlignment="1">
      <alignment horizontal="right"/>
    </xf>
    <xf numFmtId="44" fontId="1" fillId="9" borderId="8" xfId="3" applyFont="1" applyFill="1" applyBorder="1" applyAlignment="1">
      <alignment horizontal="left"/>
    </xf>
    <xf numFmtId="0" fontId="1" fillId="0" borderId="0" xfId="10" applyFont="1"/>
    <xf numFmtId="0" fontId="4" fillId="0" borderId="0" xfId="10" applyFont="1" applyAlignment="1">
      <alignment horizontal="right"/>
    </xf>
    <xf numFmtId="44" fontId="38" fillId="0" borderId="21" xfId="3" applyFont="1" applyFill="1" applyBorder="1" applyAlignment="1">
      <alignment horizontal="left" wrapText="1"/>
    </xf>
    <xf numFmtId="0" fontId="3" fillId="0" borderId="1" xfId="0" applyFont="1" applyBorder="1" applyAlignment="1">
      <alignment horizontal="center"/>
    </xf>
    <xf numFmtId="12" fontId="0" fillId="0" borderId="16" xfId="0" applyNumberFormat="1" applyBorder="1"/>
    <xf numFmtId="43" fontId="46" fillId="0" borderId="46" xfId="1" applyFont="1" applyFill="1" applyBorder="1" applyAlignment="1">
      <alignment horizontal="left" wrapText="1"/>
    </xf>
    <xf numFmtId="0" fontId="46" fillId="0" borderId="46" xfId="0" applyFont="1" applyBorder="1" applyAlignment="1">
      <alignment horizontal="left" wrapText="1"/>
    </xf>
    <xf numFmtId="0" fontId="46" fillId="0" borderId="4" xfId="0" applyFont="1" applyBorder="1" applyAlignment="1">
      <alignment horizontal="center" wrapText="1"/>
    </xf>
    <xf numFmtId="43" fontId="46" fillId="0" borderId="4" xfId="0" applyNumberFormat="1" applyFont="1" applyBorder="1" applyAlignment="1">
      <alignment horizontal="left" wrapText="1"/>
    </xf>
    <xf numFmtId="12" fontId="0" fillId="0" borderId="7" xfId="0" applyNumberFormat="1" applyBorder="1"/>
    <xf numFmtId="12" fontId="0" fillId="0" borderId="8" xfId="0" applyNumberFormat="1" applyBorder="1"/>
    <xf numFmtId="12" fontId="0" fillId="0" borderId="14" xfId="0" applyNumberFormat="1" applyBorder="1" applyAlignment="1">
      <alignment horizontal="center"/>
    </xf>
    <xf numFmtId="0" fontId="0" fillId="0" borderId="34" xfId="0" applyBorder="1"/>
    <xf numFmtId="0" fontId="0" fillId="0" borderId="7" xfId="0" applyBorder="1" applyAlignment="1">
      <alignment horizontal="center"/>
    </xf>
    <xf numFmtId="12" fontId="0" fillId="0" borderId="7" xfId="0" applyNumberFormat="1" applyBorder="1" applyAlignment="1">
      <alignment horizontal="center"/>
    </xf>
    <xf numFmtId="0" fontId="0" fillId="0" borderId="34" xfId="0" applyBorder="1" applyAlignment="1">
      <alignment horizontal="left"/>
    </xf>
    <xf numFmtId="0" fontId="0" fillId="0" borderId="9" xfId="0" applyBorder="1"/>
    <xf numFmtId="0" fontId="54" fillId="0" borderId="0" xfId="10" applyFont="1"/>
    <xf numFmtId="0" fontId="5" fillId="0" borderId="0" xfId="10" applyFont="1"/>
    <xf numFmtId="0" fontId="31" fillId="0" borderId="0" xfId="8" quotePrefix="1" applyNumberFormat="1" applyAlignment="1" applyProtection="1"/>
    <xf numFmtId="0" fontId="16" fillId="0" borderId="0" xfId="0" applyFont="1" applyAlignment="1">
      <alignment horizontal="right"/>
    </xf>
    <xf numFmtId="0" fontId="5" fillId="0" borderId="8" xfId="0" applyFont="1" applyBorder="1" applyAlignment="1">
      <alignment horizontal="center" textRotation="45" wrapText="1"/>
    </xf>
    <xf numFmtId="0" fontId="0" fillId="0" borderId="8" xfId="0" applyBorder="1" applyAlignment="1">
      <alignment horizontal="center" textRotation="45"/>
    </xf>
    <xf numFmtId="0" fontId="0" fillId="0" borderId="0" xfId="0" applyAlignment="1">
      <alignment horizontal="center" textRotation="45"/>
    </xf>
    <xf numFmtId="2" fontId="0" fillId="0" borderId="8" xfId="0" applyNumberFormat="1" applyBorder="1"/>
    <xf numFmtId="44" fontId="1" fillId="0" borderId="36" xfId="3" applyFont="1" applyFill="1" applyBorder="1"/>
    <xf numFmtId="12" fontId="1" fillId="0" borderId="14" xfId="0" applyNumberFormat="1" applyFont="1" applyBorder="1"/>
    <xf numFmtId="0" fontId="1" fillId="9" borderId="19" xfId="0" applyFont="1" applyFill="1" applyBorder="1" applyAlignment="1">
      <alignment horizontal="center"/>
    </xf>
    <xf numFmtId="0" fontId="35" fillId="0" borderId="31" xfId="0" applyFont="1" applyBorder="1"/>
    <xf numFmtId="0" fontId="13" fillId="0" borderId="0" xfId="14" applyFont="1"/>
    <xf numFmtId="0" fontId="16" fillId="0" borderId="0" xfId="14" applyFont="1"/>
    <xf numFmtId="0" fontId="26" fillId="0" borderId="0" xfId="14" applyFont="1"/>
    <xf numFmtId="0" fontId="25" fillId="0" borderId="0" xfId="14" applyFont="1"/>
    <xf numFmtId="0" fontId="1" fillId="0" borderId="0" xfId="14" applyAlignment="1">
      <alignment horizontal="center"/>
    </xf>
    <xf numFmtId="0" fontId="13" fillId="8" borderId="20" xfId="14" applyFont="1" applyFill="1" applyBorder="1"/>
    <xf numFmtId="0" fontId="10" fillId="0" borderId="21" xfId="14" applyFont="1" applyBorder="1"/>
    <xf numFmtId="0" fontId="1" fillId="0" borderId="21" xfId="14" applyBorder="1"/>
    <xf numFmtId="0" fontId="49" fillId="8" borderId="22" xfId="14" applyFont="1" applyFill="1" applyBorder="1"/>
    <xf numFmtId="0" fontId="10" fillId="0" borderId="0" xfId="14" applyFont="1"/>
    <xf numFmtId="0" fontId="10" fillId="0" borderId="3" xfId="14" applyFont="1" applyBorder="1"/>
    <xf numFmtId="0" fontId="10" fillId="0" borderId="4" xfId="14" applyFont="1" applyBorder="1"/>
    <xf numFmtId="0" fontId="13" fillId="8" borderId="12" xfId="14" applyFont="1" applyFill="1" applyBorder="1"/>
    <xf numFmtId="0" fontId="13" fillId="8" borderId="22" xfId="14" applyFont="1" applyFill="1" applyBorder="1"/>
    <xf numFmtId="0" fontId="10" fillId="0" borderId="15" xfId="14" applyFont="1" applyBorder="1"/>
    <xf numFmtId="0" fontId="10" fillId="0" borderId="2" xfId="14" applyFont="1" applyBorder="1"/>
    <xf numFmtId="0" fontId="10" fillId="0" borderId="13" xfId="14" applyFont="1" applyBorder="1"/>
    <xf numFmtId="0" fontId="13" fillId="8" borderId="40" xfId="14" applyFont="1" applyFill="1" applyBorder="1"/>
    <xf numFmtId="0" fontId="10" fillId="0" borderId="36" xfId="14" applyFont="1" applyBorder="1"/>
    <xf numFmtId="0" fontId="10" fillId="0" borderId="5" xfId="14" applyFont="1" applyBorder="1"/>
    <xf numFmtId="0" fontId="10" fillId="0" borderId="35" xfId="14" applyFont="1" applyBorder="1"/>
    <xf numFmtId="12" fontId="1" fillId="0" borderId="0" xfId="14" applyNumberFormat="1"/>
    <xf numFmtId="12" fontId="1" fillId="0" borderId="5" xfId="14" applyNumberFormat="1" applyBorder="1"/>
    <xf numFmtId="0" fontId="13" fillId="0" borderId="10" xfId="14" applyFont="1" applyBorder="1"/>
    <xf numFmtId="12" fontId="13" fillId="0" borderId="0" xfId="14" applyNumberFormat="1" applyFont="1" applyAlignment="1">
      <alignment horizontal="center"/>
    </xf>
    <xf numFmtId="12" fontId="13" fillId="0" borderId="0" xfId="14" applyNumberFormat="1" applyFont="1"/>
    <xf numFmtId="0" fontId="10" fillId="0" borderId="0" xfId="14" applyFont="1" applyAlignment="1">
      <alignment horizontal="center"/>
    </xf>
    <xf numFmtId="12" fontId="10" fillId="0" borderId="5" xfId="14" applyNumberFormat="1" applyFont="1" applyBorder="1"/>
    <xf numFmtId="12" fontId="12" fillId="0" borderId="0" xfId="14" applyNumberFormat="1" applyFont="1"/>
    <xf numFmtId="0" fontId="13" fillId="8" borderId="23" xfId="14" applyFont="1" applyFill="1" applyBorder="1"/>
    <xf numFmtId="12" fontId="1" fillId="0" borderId="1" xfId="14" applyNumberFormat="1" applyBorder="1" applyAlignment="1">
      <alignment horizontal="center"/>
    </xf>
    <xf numFmtId="12" fontId="1" fillId="0" borderId="5" xfId="14" applyNumberFormat="1" applyBorder="1" applyAlignment="1">
      <alignment horizontal="center"/>
    </xf>
    <xf numFmtId="0" fontId="13" fillId="8" borderId="45" xfId="14" applyFont="1" applyFill="1" applyBorder="1"/>
    <xf numFmtId="12" fontId="1" fillId="0" borderId="0" xfId="14" applyNumberFormat="1" applyAlignment="1">
      <alignment horizontal="right"/>
    </xf>
    <xf numFmtId="0" fontId="11" fillId="0" borderId="8" xfId="14" applyFont="1" applyBorder="1"/>
    <xf numFmtId="0" fontId="46" fillId="8" borderId="19" xfId="14" applyFont="1" applyFill="1" applyBorder="1"/>
    <xf numFmtId="0" fontId="1" fillId="8" borderId="9" xfId="14" applyFill="1" applyBorder="1"/>
    <xf numFmtId="0" fontId="11" fillId="0" borderId="0" xfId="14" applyFont="1"/>
    <xf numFmtId="0" fontId="3" fillId="8" borderId="9" xfId="14" applyFont="1" applyFill="1" applyBorder="1"/>
    <xf numFmtId="0" fontId="11" fillId="0" borderId="10" xfId="14" applyFont="1" applyBorder="1"/>
    <xf numFmtId="0" fontId="13" fillId="8" borderId="11" xfId="14" applyFont="1" applyFill="1" applyBorder="1"/>
    <xf numFmtId="2" fontId="13" fillId="8" borderId="6" xfId="14" applyNumberFormat="1" applyFont="1" applyFill="1" applyBorder="1"/>
    <xf numFmtId="12" fontId="15" fillId="0" borderId="12" xfId="14" applyNumberFormat="1" applyFont="1" applyBorder="1"/>
    <xf numFmtId="1" fontId="15" fillId="0" borderId="7" xfId="14" applyNumberFormat="1" applyFont="1" applyBorder="1" applyAlignment="1">
      <alignment horizontal="center"/>
    </xf>
    <xf numFmtId="12" fontId="15" fillId="0" borderId="10" xfId="14" applyNumberFormat="1" applyFont="1" applyBorder="1"/>
    <xf numFmtId="1" fontId="15" fillId="0" borderId="14" xfId="14" applyNumberFormat="1" applyFont="1" applyBorder="1" applyAlignment="1">
      <alignment horizontal="center"/>
    </xf>
    <xf numFmtId="0" fontId="50" fillId="0" borderId="24" xfId="14" applyFont="1" applyBorder="1" applyAlignment="1">
      <alignment horizontal="center"/>
    </xf>
    <xf numFmtId="0" fontId="51" fillId="0" borderId="25" xfId="14" applyFont="1" applyBorder="1"/>
    <xf numFmtId="0" fontId="1" fillId="0" borderId="25" xfId="14" applyBorder="1"/>
    <xf numFmtId="0" fontId="1" fillId="0" borderId="26" xfId="14" applyBorder="1"/>
    <xf numFmtId="0" fontId="50" fillId="0" borderId="42" xfId="14" applyFont="1" applyBorder="1" applyAlignment="1">
      <alignment horizontal="center"/>
    </xf>
    <xf numFmtId="0" fontId="51" fillId="0" borderId="43" xfId="14" applyFont="1" applyBorder="1"/>
    <xf numFmtId="0" fontId="1" fillId="0" borderId="43" xfId="14" applyBorder="1"/>
    <xf numFmtId="0" fontId="8" fillId="0" borderId="0" xfId="14" applyFont="1"/>
    <xf numFmtId="0" fontId="9" fillId="0" borderId="0" xfId="14" applyFont="1"/>
    <xf numFmtId="0" fontId="1" fillId="9" borderId="37" xfId="0" applyFont="1" applyFill="1" applyBorder="1" applyAlignment="1">
      <alignment horizontal="center"/>
    </xf>
    <xf numFmtId="0" fontId="19" fillId="0" borderId="43" xfId="14" applyFont="1" applyBorder="1"/>
    <xf numFmtId="0" fontId="19" fillId="0" borderId="44" xfId="14" applyFont="1" applyBorder="1"/>
    <xf numFmtId="0" fontId="13" fillId="0" borderId="26" xfId="14" applyFont="1" applyBorder="1" applyAlignment="1">
      <alignment horizontal="right" vertical="center"/>
    </xf>
    <xf numFmtId="0" fontId="13" fillId="0" borderId="0" xfId="14" applyFont="1" applyAlignment="1">
      <alignment horizontal="right" vertical="center"/>
    </xf>
    <xf numFmtId="0" fontId="1" fillId="0" borderId="21" xfId="14" applyBorder="1" applyAlignment="1">
      <alignment horizontal="right" vertical="center"/>
    </xf>
    <xf numFmtId="0" fontId="1" fillId="0" borderId="10" xfId="14" applyBorder="1" applyAlignment="1">
      <alignment horizontal="right" vertical="center"/>
    </xf>
    <xf numFmtId="0" fontId="1" fillId="0" borderId="35" xfId="16" applyBorder="1" applyAlignment="1">
      <alignment horizontal="center"/>
    </xf>
    <xf numFmtId="0" fontId="1" fillId="0" borderId="0" xfId="16" applyAlignment="1">
      <alignment horizontal="center"/>
    </xf>
    <xf numFmtId="0" fontId="1" fillId="0" borderId="0" xfId="16"/>
    <xf numFmtId="12" fontId="24" fillId="0" borderId="37" xfId="16" applyNumberFormat="1" applyFont="1" applyBorder="1" applyAlignment="1">
      <alignment horizontal="center"/>
    </xf>
    <xf numFmtId="12" fontId="24" fillId="0" borderId="1" xfId="16" applyNumberFormat="1" applyFont="1" applyBorder="1" applyAlignment="1">
      <alignment horizontal="center"/>
    </xf>
    <xf numFmtId="12" fontId="24" fillId="0" borderId="34" xfId="16" applyNumberFormat="1" applyFont="1" applyBorder="1" applyAlignment="1">
      <alignment horizontal="center"/>
    </xf>
    <xf numFmtId="12" fontId="24" fillId="0" borderId="0" xfId="16" applyNumberFormat="1" applyFont="1" applyAlignment="1">
      <alignment horizontal="center"/>
    </xf>
    <xf numFmtId="12" fontId="24" fillId="0" borderId="36" xfId="16" applyNumberFormat="1" applyFont="1" applyBorder="1" applyAlignment="1">
      <alignment horizontal="center"/>
    </xf>
    <xf numFmtId="12" fontId="24" fillId="0" borderId="33" xfId="16" applyNumberFormat="1" applyFont="1" applyBorder="1" applyAlignment="1">
      <alignment horizontal="center"/>
    </xf>
    <xf numFmtId="0" fontId="1" fillId="0" borderId="15" xfId="16" applyBorder="1" applyAlignment="1">
      <alignment horizontal="center"/>
    </xf>
    <xf numFmtId="0" fontId="1" fillId="0" borderId="36" xfId="16" applyBorder="1" applyAlignment="1">
      <alignment horizontal="center"/>
    </xf>
    <xf numFmtId="0" fontId="24" fillId="0" borderId="0" xfId="16" applyFont="1" applyAlignment="1">
      <alignment horizontal="center"/>
    </xf>
    <xf numFmtId="0" fontId="24" fillId="0" borderId="0" xfId="16" applyFont="1"/>
    <xf numFmtId="12" fontId="24" fillId="0" borderId="8" xfId="16" applyNumberFormat="1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40" fillId="0" borderId="0" xfId="0" applyFont="1" applyAlignment="1">
      <alignment horizontal="center"/>
    </xf>
    <xf numFmtId="0" fontId="1" fillId="0" borderId="8" xfId="16" applyBorder="1"/>
    <xf numFmtId="12" fontId="1" fillId="0" borderId="0" xfId="0" applyNumberFormat="1" applyFont="1" applyAlignment="1">
      <alignment horizontal="left"/>
    </xf>
    <xf numFmtId="12" fontId="0" fillId="0" borderId="0" xfId="0" applyNumberFormat="1" applyAlignment="1">
      <alignment horizontal="left"/>
    </xf>
    <xf numFmtId="12" fontId="31" fillId="0" borderId="0" xfId="8" applyNumberFormat="1" applyFill="1" applyBorder="1" applyAlignment="1" applyProtection="1">
      <alignment horizontal="left"/>
    </xf>
    <xf numFmtId="12" fontId="1" fillId="0" borderId="1" xfId="16" applyNumberFormat="1" applyBorder="1" applyAlignment="1" applyProtection="1">
      <alignment horizontal="left"/>
      <protection locked="0"/>
    </xf>
    <xf numFmtId="12" fontId="1" fillId="0" borderId="1" xfId="16" applyNumberFormat="1" applyBorder="1" applyProtection="1">
      <protection locked="0"/>
    </xf>
    <xf numFmtId="12" fontId="1" fillId="0" borderId="0" xfId="16" applyNumberFormat="1" applyProtection="1">
      <protection locked="0"/>
    </xf>
    <xf numFmtId="12" fontId="5" fillId="0" borderId="0" xfId="16" applyNumberFormat="1" applyFont="1" applyAlignment="1" applyProtection="1">
      <alignment vertical="top"/>
      <protection locked="0"/>
    </xf>
    <xf numFmtId="0" fontId="1" fillId="0" borderId="0" xfId="16" applyProtection="1">
      <protection locked="0"/>
    </xf>
    <xf numFmtId="12" fontId="51" fillId="0" borderId="0" xfId="16" applyNumberFormat="1" applyFont="1" applyAlignment="1" applyProtection="1">
      <alignment vertical="center"/>
      <protection locked="0"/>
    </xf>
    <xf numFmtId="0" fontId="56" fillId="0" borderId="0" xfId="16" applyFont="1"/>
    <xf numFmtId="0" fontId="57" fillId="0" borderId="0" xfId="16" applyFont="1" applyProtection="1">
      <protection locked="0"/>
    </xf>
    <xf numFmtId="1" fontId="58" fillId="0" borderId="0" xfId="16" applyNumberFormat="1" applyFont="1" applyProtection="1">
      <protection locked="0"/>
    </xf>
    <xf numFmtId="1" fontId="58" fillId="0" borderId="0" xfId="16" applyNumberFormat="1" applyFont="1" applyAlignment="1" applyProtection="1">
      <alignment horizontal="right"/>
      <protection locked="0"/>
    </xf>
    <xf numFmtId="1" fontId="58" fillId="0" borderId="1" xfId="16" applyNumberFormat="1" applyFont="1" applyBorder="1" applyProtection="1">
      <protection locked="0"/>
    </xf>
    <xf numFmtId="0" fontId="59" fillId="0" borderId="0" xfId="16" applyFont="1" applyProtection="1">
      <protection locked="0"/>
    </xf>
    <xf numFmtId="0" fontId="60" fillId="0" borderId="0" xfId="0" applyFont="1"/>
    <xf numFmtId="0" fontId="32" fillId="0" borderId="0" xfId="10" applyFont="1" applyAlignment="1">
      <alignment horizontal="center"/>
    </xf>
    <xf numFmtId="0" fontId="0" fillId="0" borderId="1" xfId="0" applyBorder="1" applyAlignment="1">
      <alignment horizontal="center"/>
    </xf>
    <xf numFmtId="0" fontId="14" fillId="0" borderId="0" xfId="10" applyFont="1" applyAlignment="1">
      <alignment horizontal="left"/>
    </xf>
    <xf numFmtId="0" fontId="5" fillId="0" borderId="0" xfId="10" applyFont="1" applyAlignment="1">
      <alignment horizontal="center" wrapText="1"/>
    </xf>
    <xf numFmtId="0" fontId="1" fillId="0" borderId="0" xfId="0" applyFont="1" applyAlignment="1">
      <alignment horizontal="right"/>
    </xf>
    <xf numFmtId="0" fontId="1" fillId="0" borderId="33" xfId="0" applyFont="1" applyBorder="1" applyAlignment="1">
      <alignment horizontal="right"/>
    </xf>
    <xf numFmtId="14" fontId="40" fillId="0" borderId="19" xfId="0" applyNumberFormat="1" applyFont="1" applyBorder="1" applyAlignment="1">
      <alignment horizontal="left"/>
    </xf>
    <xf numFmtId="0" fontId="40" fillId="0" borderId="2" xfId="0" applyFont="1" applyBorder="1" applyAlignment="1">
      <alignment horizontal="left"/>
    </xf>
    <xf numFmtId="0" fontId="40" fillId="0" borderId="9" xfId="0" applyFont="1" applyBorder="1" applyAlignment="1">
      <alignment horizontal="left"/>
    </xf>
    <xf numFmtId="12" fontId="1" fillId="0" borderId="1" xfId="0" applyNumberFormat="1" applyFont="1" applyBorder="1" applyAlignment="1">
      <alignment horizontal="left"/>
    </xf>
    <xf numFmtId="12" fontId="1" fillId="0" borderId="2" xfId="0" applyNumberFormat="1" applyFont="1" applyBorder="1" applyAlignment="1">
      <alignment horizontal="left"/>
    </xf>
    <xf numFmtId="0" fontId="0" fillId="0" borderId="15" xfId="0" applyBorder="1" applyAlignment="1">
      <alignment horizontal="left"/>
    </xf>
    <xf numFmtId="0" fontId="1" fillId="0" borderId="1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1" fillId="0" borderId="2" xfId="0" applyFont="1" applyBorder="1" applyAlignment="1">
      <alignment horizontal="left"/>
    </xf>
    <xf numFmtId="0" fontId="14" fillId="7" borderId="36" xfId="0" applyFont="1" applyFill="1" applyBorder="1" applyAlignment="1">
      <alignment horizontal="left"/>
    </xf>
    <xf numFmtId="0" fontId="14" fillId="7" borderId="0" xfId="0" applyFont="1" applyFill="1" applyAlignment="1">
      <alignment horizontal="left"/>
    </xf>
    <xf numFmtId="0" fontId="14" fillId="7" borderId="33" xfId="0" applyFont="1" applyFill="1" applyBorder="1" applyAlignment="1">
      <alignment horizontal="left"/>
    </xf>
    <xf numFmtId="0" fontId="1" fillId="9" borderId="8" xfId="0" applyFont="1" applyFill="1" applyBorder="1" applyAlignment="1">
      <alignment horizontal="left" wrapText="1"/>
    </xf>
    <xf numFmtId="0" fontId="11" fillId="0" borderId="0" xfId="0" applyFont="1" applyAlignment="1">
      <alignment horizontal="right"/>
    </xf>
    <xf numFmtId="0" fontId="48" fillId="0" borderId="35" xfId="0" applyFont="1" applyBorder="1" applyAlignment="1">
      <alignment horizontal="center" vertical="center" wrapText="1"/>
    </xf>
    <xf numFmtId="0" fontId="48" fillId="0" borderId="18" xfId="0" applyFont="1" applyBorder="1" applyAlignment="1">
      <alignment horizontal="center" vertical="center" wrapText="1"/>
    </xf>
    <xf numFmtId="0" fontId="48" fillId="0" borderId="36" xfId="0" applyFont="1" applyBorder="1" applyAlignment="1">
      <alignment horizontal="center" vertical="center" wrapText="1"/>
    </xf>
    <xf numFmtId="0" fontId="48" fillId="0" borderId="33" xfId="0" applyFont="1" applyBorder="1" applyAlignment="1">
      <alignment horizontal="center" vertical="center" wrapText="1"/>
    </xf>
    <xf numFmtId="0" fontId="48" fillId="0" borderId="37" xfId="0" applyFont="1" applyBorder="1" applyAlignment="1">
      <alignment horizontal="center" vertical="center" wrapText="1"/>
    </xf>
    <xf numFmtId="0" fontId="48" fillId="0" borderId="34" xfId="0" applyFont="1" applyBorder="1" applyAlignment="1">
      <alignment horizontal="center" vertical="center" wrapText="1"/>
    </xf>
    <xf numFmtId="12" fontId="0" fillId="0" borderId="2" xfId="0" applyNumberFormat="1" applyBorder="1" applyAlignment="1">
      <alignment horizontal="left"/>
    </xf>
    <xf numFmtId="12" fontId="31" fillId="0" borderId="2" xfId="8" applyNumberFormat="1" applyFill="1" applyBorder="1" applyAlignment="1" applyProtection="1">
      <alignment horizontal="left"/>
    </xf>
    <xf numFmtId="0" fontId="14" fillId="7" borderId="35" xfId="0" applyFont="1" applyFill="1" applyBorder="1" applyAlignment="1">
      <alignment horizontal="left"/>
    </xf>
    <xf numFmtId="0" fontId="14" fillId="7" borderId="15" xfId="0" applyFont="1" applyFill="1" applyBorder="1" applyAlignment="1">
      <alignment horizontal="left"/>
    </xf>
    <xf numFmtId="0" fontId="14" fillId="7" borderId="18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31" fillId="0" borderId="2" xfId="8" applyBorder="1" applyAlignment="1" applyProtection="1">
      <alignment horizontal="left"/>
    </xf>
    <xf numFmtId="0" fontId="35" fillId="0" borderId="30" xfId="0" applyFont="1" applyBorder="1" applyAlignment="1">
      <alignment horizontal="right"/>
    </xf>
    <xf numFmtId="0" fontId="35" fillId="0" borderId="17" xfId="0" applyFont="1" applyBorder="1" applyAlignment="1">
      <alignment horizontal="right"/>
    </xf>
    <xf numFmtId="0" fontId="19" fillId="0" borderId="43" xfId="14" applyFont="1" applyBorder="1" applyAlignment="1">
      <alignment horizontal="center"/>
    </xf>
    <xf numFmtId="0" fontId="19" fillId="0" borderId="44" xfId="14" applyFont="1" applyBorder="1" applyAlignment="1">
      <alignment horizontal="center"/>
    </xf>
    <xf numFmtId="0" fontId="46" fillId="0" borderId="0" xfId="14" applyFont="1" applyAlignment="1">
      <alignment horizontal="center"/>
    </xf>
    <xf numFmtId="0" fontId="46" fillId="0" borderId="5" xfId="14" applyFont="1" applyBorder="1" applyAlignment="1">
      <alignment horizontal="center"/>
    </xf>
    <xf numFmtId="0" fontId="46" fillId="0" borderId="1" xfId="14" applyFont="1" applyBorder="1" applyAlignment="1">
      <alignment horizontal="center"/>
    </xf>
    <xf numFmtId="0" fontId="46" fillId="0" borderId="41" xfId="14" applyFont="1" applyBorder="1" applyAlignment="1">
      <alignment horizontal="center"/>
    </xf>
    <xf numFmtId="0" fontId="10" fillId="0" borderId="47" xfId="14" applyFont="1" applyBorder="1" applyAlignment="1">
      <alignment horizontal="center"/>
    </xf>
    <xf numFmtId="0" fontId="10" fillId="0" borderId="17" xfId="14" applyFont="1" applyBorder="1" applyAlignment="1">
      <alignment horizontal="center"/>
    </xf>
    <xf numFmtId="0" fontId="10" fillId="0" borderId="31" xfId="14" applyFont="1" applyBorder="1" applyAlignment="1">
      <alignment horizontal="center"/>
    </xf>
    <xf numFmtId="0" fontId="6" fillId="0" borderId="29" xfId="14" applyFont="1" applyBorder="1" applyAlignment="1">
      <alignment horizontal="center"/>
    </xf>
    <xf numFmtId="0" fontId="6" fillId="0" borderId="32" xfId="14" applyFont="1" applyBorder="1" applyAlignment="1">
      <alignment horizontal="center"/>
    </xf>
    <xf numFmtId="0" fontId="10" fillId="0" borderId="3" xfId="14" applyFont="1" applyBorder="1" applyAlignment="1">
      <alignment horizontal="center"/>
    </xf>
    <xf numFmtId="0" fontId="10" fillId="0" borderId="4" xfId="14" applyFont="1" applyBorder="1" applyAlignment="1">
      <alignment horizontal="center"/>
    </xf>
    <xf numFmtId="0" fontId="10" fillId="0" borderId="48" xfId="14" applyFont="1" applyBorder="1" applyAlignment="1">
      <alignment horizontal="center"/>
    </xf>
    <xf numFmtId="0" fontId="11" fillId="0" borderId="19" xfId="14" applyFont="1" applyBorder="1" applyAlignment="1">
      <alignment horizontal="center"/>
    </xf>
    <xf numFmtId="0" fontId="11" fillId="0" borderId="13" xfId="14" applyFont="1" applyBorder="1" applyAlignment="1">
      <alignment horizontal="center"/>
    </xf>
    <xf numFmtId="0" fontId="11" fillId="0" borderId="37" xfId="14" applyFont="1" applyBorder="1" applyAlignment="1">
      <alignment horizontal="center"/>
    </xf>
    <xf numFmtId="0" fontId="10" fillId="0" borderId="19" xfId="14" applyFont="1" applyBorder="1" applyAlignment="1">
      <alignment horizontal="center"/>
    </xf>
    <xf numFmtId="0" fontId="10" fillId="0" borderId="2" xfId="14" applyFont="1" applyBorder="1" applyAlignment="1">
      <alignment horizontal="center"/>
    </xf>
    <xf numFmtId="0" fontId="10" fillId="0" borderId="41" xfId="14" applyFont="1" applyBorder="1" applyAlignment="1">
      <alignment horizontal="center"/>
    </xf>
    <xf numFmtId="0" fontId="46" fillId="0" borderId="37" xfId="14" applyFont="1" applyBorder="1" applyAlignment="1">
      <alignment horizontal="center"/>
    </xf>
    <xf numFmtId="0" fontId="11" fillId="0" borderId="40" xfId="14" applyFont="1" applyBorder="1" applyAlignment="1">
      <alignment horizontal="left"/>
    </xf>
    <xf numFmtId="0" fontId="11" fillId="0" borderId="9" xfId="14" applyFont="1" applyBorder="1" applyAlignment="1">
      <alignment horizontal="left"/>
    </xf>
    <xf numFmtId="0" fontId="11" fillId="0" borderId="40" xfId="14" applyFont="1" applyBorder="1" applyAlignment="1">
      <alignment horizontal="center"/>
    </xf>
    <xf numFmtId="0" fontId="11" fillId="0" borderId="9" xfId="14" applyFont="1" applyBorder="1" applyAlignment="1">
      <alignment horizontal="center"/>
    </xf>
    <xf numFmtId="0" fontId="46" fillId="0" borderId="37" xfId="14" applyFont="1" applyBorder="1" applyAlignment="1">
      <alignment horizontal="left"/>
    </xf>
    <xf numFmtId="0" fontId="46" fillId="0" borderId="1" xfId="14" applyFont="1" applyBorder="1" applyAlignment="1">
      <alignment horizontal="left"/>
    </xf>
    <xf numFmtId="0" fontId="46" fillId="0" borderId="27" xfId="0" applyFont="1" applyBorder="1" applyAlignment="1">
      <alignment horizontal="center" wrapText="1"/>
    </xf>
    <xf numFmtId="0" fontId="46" fillId="0" borderId="21" xfId="0" applyFont="1" applyBorder="1" applyAlignment="1">
      <alignment horizontal="center" wrapText="1"/>
    </xf>
    <xf numFmtId="0" fontId="46" fillId="0" borderId="24" xfId="0" applyFont="1" applyBorder="1" applyAlignment="1">
      <alignment horizontal="center" wrapText="1"/>
    </xf>
    <xf numFmtId="0" fontId="46" fillId="0" borderId="25" xfId="0" applyFont="1" applyBorder="1" applyAlignment="1">
      <alignment horizontal="center" wrapText="1"/>
    </xf>
    <xf numFmtId="0" fontId="14" fillId="0" borderId="35" xfId="0" applyFont="1" applyBorder="1" applyAlignment="1">
      <alignment horizontal="left"/>
    </xf>
    <xf numFmtId="0" fontId="14" fillId="0" borderId="15" xfId="0" applyFont="1" applyBorder="1" applyAlignment="1">
      <alignment horizontal="left"/>
    </xf>
    <xf numFmtId="0" fontId="14" fillId="0" borderId="18" xfId="0" applyFont="1" applyBorder="1" applyAlignment="1">
      <alignment horizontal="left"/>
    </xf>
    <xf numFmtId="0" fontId="14" fillId="0" borderId="37" xfId="0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14" fillId="0" borderId="34" xfId="0" applyFont="1" applyBorder="1" applyAlignment="1">
      <alignment horizontal="left"/>
    </xf>
    <xf numFmtId="0" fontId="1" fillId="0" borderId="0" xfId="0" applyFont="1" applyAlignment="1">
      <alignment horizontal="left" wrapText="1"/>
    </xf>
    <xf numFmtId="12" fontId="51" fillId="0" borderId="0" xfId="16" applyNumberFormat="1" applyFont="1" applyAlignment="1" applyProtection="1">
      <alignment horizontal="center" vertical="center"/>
      <protection locked="0"/>
    </xf>
    <xf numFmtId="0" fontId="0" fillId="0" borderId="0" xfId="0" applyAlignment="1">
      <alignment horizontal="left"/>
    </xf>
    <xf numFmtId="0" fontId="40" fillId="0" borderId="19" xfId="0" applyFont="1" applyBorder="1" applyAlignment="1">
      <alignment horizontal="left"/>
    </xf>
    <xf numFmtId="0" fontId="55" fillId="0" borderId="0" xfId="16" applyFont="1" applyAlignment="1">
      <alignment horizontal="center"/>
    </xf>
    <xf numFmtId="0" fontId="24" fillId="0" borderId="15" xfId="16" applyFont="1" applyBorder="1" applyAlignment="1">
      <alignment horizontal="center"/>
    </xf>
    <xf numFmtId="0" fontId="24" fillId="0" borderId="18" xfId="16" applyFont="1" applyBorder="1" applyAlignment="1">
      <alignment horizontal="center"/>
    </xf>
    <xf numFmtId="0" fontId="1" fillId="0" borderId="15" xfId="16" applyBorder="1" applyAlignment="1">
      <alignment horizontal="center"/>
    </xf>
    <xf numFmtId="0" fontId="1" fillId="0" borderId="18" xfId="16" applyBorder="1" applyAlignment="1">
      <alignment horizontal="center"/>
    </xf>
    <xf numFmtId="0" fontId="24" fillId="0" borderId="0" xfId="16" applyFont="1" applyAlignment="1">
      <alignment horizontal="center"/>
    </xf>
    <xf numFmtId="0" fontId="19" fillId="0" borderId="19" xfId="16" applyFont="1" applyBorder="1" applyAlignment="1">
      <alignment horizontal="center"/>
    </xf>
    <xf numFmtId="0" fontId="19" fillId="0" borderId="9" xfId="16" applyFont="1" applyBorder="1" applyAlignment="1">
      <alignment horizontal="center"/>
    </xf>
  </cellXfs>
  <cellStyles count="17">
    <cellStyle name="Comma" xfId="1" builtinId="3"/>
    <cellStyle name="Comma 2" xfId="2" xr:uid="{00000000-0005-0000-0000-000001000000}"/>
    <cellStyle name="Currency" xfId="3" builtinId="4"/>
    <cellStyle name="Currency 2" xfId="4" xr:uid="{00000000-0005-0000-0000-000003000000}"/>
    <cellStyle name="Currency 2 2" xfId="5" xr:uid="{00000000-0005-0000-0000-000004000000}"/>
    <cellStyle name="Currency 2 3" xfId="15" xr:uid="{C0BFC8BC-2EB0-4D6C-9755-AD942BD6FCB4}"/>
    <cellStyle name="Currency 3" xfId="6" xr:uid="{00000000-0005-0000-0000-000005000000}"/>
    <cellStyle name="Currency_Rollershade" xfId="7" xr:uid="{00000000-0005-0000-0000-000006000000}"/>
    <cellStyle name="Hyperlink" xfId="8" builtinId="8"/>
    <cellStyle name="Normal" xfId="0" builtinId="0"/>
    <cellStyle name="Normal 2" xfId="9" xr:uid="{00000000-0005-0000-0000-000009000000}"/>
    <cellStyle name="Normal 2 2" xfId="16" xr:uid="{4D4F1AEB-DB94-4982-8891-11F1D9B6F883}"/>
    <cellStyle name="Normal 3" xfId="14" xr:uid="{FCB6CC49-D3AF-4B1A-A00F-11D01680B360}"/>
    <cellStyle name="Normal_Quote-Ron Luke" xfId="10" xr:uid="{00000000-0005-0000-0000-00000A000000}"/>
    <cellStyle name="Normal_Rollershade" xfId="11" xr:uid="{00000000-0005-0000-0000-00000B000000}"/>
    <cellStyle name="Percent" xfId="12" builtinId="5"/>
    <cellStyle name="Percent 2" xfId="13" xr:uid="{00000000-0005-0000-0000-00000D000000}"/>
  </cellStyles>
  <dxfs count="8">
    <dxf>
      <fill>
        <patternFill>
          <bgColor theme="5" tint="0.79998168889431442"/>
        </patternFill>
      </fill>
      <border>
        <left style="dashDot">
          <color rgb="FF7030A0"/>
        </left>
        <right style="dashDot">
          <color rgb="FF7030A0"/>
        </right>
        <top style="dashDot">
          <color rgb="FF7030A0"/>
        </top>
        <bottom style="dash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">
          <color rgb="FF7030A0"/>
        </left>
        <right style="dashDot">
          <color rgb="FF7030A0"/>
        </right>
        <top style="dashDot">
          <color rgb="FF7030A0"/>
        </top>
        <bottom style="dashDot">
          <color rgb="FF7030A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dashDot">
          <color rgb="FF7030A0"/>
        </left>
        <right style="dashDot">
          <color rgb="FF7030A0"/>
        </right>
        <top style="dashDot">
          <color rgb="FF7030A0"/>
        </top>
        <bottom style="dashDot">
          <color rgb="FF7030A0"/>
        </bottom>
        <vertical/>
        <horizontal/>
      </border>
    </dxf>
    <dxf>
      <font>
        <b/>
        <i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ndense val="0"/>
        <extend val="0"/>
        <color indexed="10"/>
      </font>
      <fill>
        <patternFill patternType="lightGray">
          <fgColor indexed="9"/>
          <bgColor indexed="15"/>
        </patternFill>
      </fill>
    </dxf>
  </dxfs>
  <tableStyles count="0" defaultTableStyle="TableStyleMedium9" defaultPivotStyle="PivotStyleLight16"/>
  <colors>
    <mruColors>
      <color rgb="FFFFFFCC"/>
      <color rgb="FFFFFFB3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$AE$8" lockText="1" noThreeD="1"/>
</file>

<file path=xl/ctrlProps/ctrlProp10.xml><?xml version="1.0" encoding="utf-8"?>
<formControlPr xmlns="http://schemas.microsoft.com/office/spreadsheetml/2009/9/main" objectType="Radio" checked="Checked" firstButton="1" fmlaLink="Worksheet!$Q$9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CheckBox" checked="Checked" fmlaLink="$Q$12" lockText="1" noThreeD="1"/>
</file>

<file path=xl/ctrlProps/ctrlProp14.xml><?xml version="1.0" encoding="utf-8"?>
<formControlPr xmlns="http://schemas.microsoft.com/office/spreadsheetml/2009/9/main" objectType="CheckBox" checked="Checked" fmlaLink="Worksheet!$Q$12" lockText="1" noThreeD="1"/>
</file>

<file path=xl/ctrlProps/ctrlProp15.xml><?xml version="1.0" encoding="utf-8"?>
<formControlPr xmlns="http://schemas.microsoft.com/office/spreadsheetml/2009/9/main" objectType="CheckBox" checked="Checked" fmlaLink="#REF!" lockText="1" noThreeD="1"/>
</file>

<file path=xl/ctrlProps/ctrlProp16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Radio" checked="Checked" firstButton="1" fmlaLink="Worksheet!$Q$9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CheckBox" checked="Checked" fmlaLink="$Q$12" lockText="1" noThreeD="1"/>
</file>

<file path=xl/ctrlProps/ctrlProp21.xml><?xml version="1.0" encoding="utf-8"?>
<formControlPr xmlns="http://schemas.microsoft.com/office/spreadsheetml/2009/9/main" objectType="CheckBox" checked="Checked" fmlaLink="Worksheet!$Q$12" lockText="1" noThreeD="1"/>
</file>

<file path=xl/ctrlProps/ctrlProp3.xml><?xml version="1.0" encoding="utf-8"?>
<formControlPr xmlns="http://schemas.microsoft.com/office/spreadsheetml/2009/9/main" objectType="Radio" checked="Checked" firstButton="1" fmlaLink="$Q$9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CheckBox" checked="Checked" fmlaLink="$Q$12" lockText="1" noThreeD="1"/>
</file>

<file path=xl/ctrlProps/ctrlProp7.xml><?xml version="1.0" encoding="utf-8"?>
<formControlPr xmlns="http://schemas.microsoft.com/office/spreadsheetml/2009/9/main" objectType="CheckBox" checked="Checked" fmlaLink="$Q$12" lockText="1" noThreeD="1"/>
</file>

<file path=xl/ctrlProps/ctrlProp8.xml><?xml version="1.0" encoding="utf-8"?>
<formControlPr xmlns="http://schemas.microsoft.com/office/spreadsheetml/2009/9/main" objectType="CheckBox" checked="Checked" fmlaLink="#REF!" lockText="1" noThreeD="1"/>
</file>

<file path=xl/ctrlProps/ctrlProp9.xml><?xml version="1.0" encoding="utf-8"?>
<formControlPr xmlns="http://schemas.microsoft.com/office/spreadsheetml/2009/9/main" objectType="GBox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333375</xdr:colOff>
      <xdr:row>0</xdr:row>
      <xdr:rowOff>0</xdr:rowOff>
    </xdr:from>
    <xdr:to>
      <xdr:col>8</xdr:col>
      <xdr:colOff>65950</xdr:colOff>
      <xdr:row>5</xdr:row>
      <xdr:rowOff>123144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5" y="0"/>
          <a:ext cx="4828450" cy="9327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24938</xdr:colOff>
          <xdr:row>6</xdr:row>
          <xdr:rowOff>141316</xdr:rowOff>
        </xdr:from>
        <xdr:to>
          <xdr:col>31</xdr:col>
          <xdr:colOff>58189</xdr:colOff>
          <xdr:row>8</xdr:row>
          <xdr:rowOff>16625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2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Tax Material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955964</xdr:colOff>
          <xdr:row>7</xdr:row>
          <xdr:rowOff>133004</xdr:rowOff>
        </xdr:from>
        <xdr:to>
          <xdr:col>17</xdr:col>
          <xdr:colOff>324196</xdr:colOff>
          <xdr:row>10</xdr:row>
          <xdr:rowOff>157942</xdr:rowOff>
        </xdr:to>
        <xdr:sp macro="" textlink="">
          <xdr:nvSpPr>
            <xdr:cNvPr id="1032" name="Group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2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Install/Deliver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1022465</xdr:colOff>
          <xdr:row>8</xdr:row>
          <xdr:rowOff>24938</xdr:rowOff>
        </xdr:from>
        <xdr:to>
          <xdr:col>15</xdr:col>
          <xdr:colOff>1620982</xdr:colOff>
          <xdr:row>9</xdr:row>
          <xdr:rowOff>74815</xdr:rowOff>
        </xdr:to>
        <xdr:sp macro="" textlink="">
          <xdr:nvSpPr>
            <xdr:cNvPr id="1033" name="Option Button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2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1005840</xdr:colOff>
          <xdr:row>9</xdr:row>
          <xdr:rowOff>91440</xdr:rowOff>
        </xdr:from>
        <xdr:to>
          <xdr:col>15</xdr:col>
          <xdr:colOff>1620982</xdr:colOff>
          <xdr:row>10</xdr:row>
          <xdr:rowOff>141316</xdr:rowOff>
        </xdr:to>
        <xdr:sp macro="" textlink="">
          <xdr:nvSpPr>
            <xdr:cNvPr id="1034" name="Option Butto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2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1712422</xdr:colOff>
          <xdr:row>8</xdr:row>
          <xdr:rowOff>16625</xdr:rowOff>
        </xdr:from>
        <xdr:to>
          <xdr:col>17</xdr:col>
          <xdr:colOff>249382</xdr:colOff>
          <xdr:row>9</xdr:row>
          <xdr:rowOff>66502</xdr:rowOff>
        </xdr:to>
        <xdr:sp macro="" textlink="">
          <xdr:nvSpPr>
            <xdr:cNvPr id="1035" name="Option Button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2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997527</xdr:colOff>
          <xdr:row>11</xdr:row>
          <xdr:rowOff>24938</xdr:rowOff>
        </xdr:from>
        <xdr:to>
          <xdr:col>17</xdr:col>
          <xdr:colOff>141316</xdr:colOff>
          <xdr:row>12</xdr:row>
          <xdr:rowOff>16625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2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Verified Measurements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997527</xdr:colOff>
          <xdr:row>11</xdr:row>
          <xdr:rowOff>24938</xdr:rowOff>
        </xdr:from>
        <xdr:to>
          <xdr:col>17</xdr:col>
          <xdr:colOff>141316</xdr:colOff>
          <xdr:row>12</xdr:row>
          <xdr:rowOff>16625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2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Verified Measurements</a:t>
              </a:r>
            </a:p>
          </xdr:txBody>
        </xdr:sp>
        <xdr:clientData/>
      </xdr:twoCellAnchor>
    </mc:Choice>
    <mc:Fallback/>
  </mc:AlternateContent>
  <xdr:twoCellAnchor editAs="oneCell">
    <xdr:from>
      <xdr:col>1</xdr:col>
      <xdr:colOff>219075</xdr:colOff>
      <xdr:row>0</xdr:row>
      <xdr:rowOff>47625</xdr:rowOff>
    </xdr:from>
    <xdr:to>
      <xdr:col>9</xdr:col>
      <xdr:colOff>200025</xdr:colOff>
      <xdr:row>3</xdr:row>
      <xdr:rowOff>76525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9625" y="47625"/>
          <a:ext cx="3305175" cy="638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81643</xdr:colOff>
      <xdr:row>9</xdr:row>
      <xdr:rowOff>204108</xdr:rowOff>
    </xdr:from>
    <xdr:to>
      <xdr:col>14</xdr:col>
      <xdr:colOff>843643</xdr:colOff>
      <xdr:row>12</xdr:row>
      <xdr:rowOff>4159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21268" y="2632983"/>
          <a:ext cx="2609850" cy="600152"/>
        </a:xfrm>
        <a:prstGeom prst="rect">
          <a:avLst/>
        </a:prstGeom>
      </xdr:spPr>
    </xdr:pic>
    <xdr:clientData/>
  </xdr:twoCellAnchor>
  <xdr:twoCellAnchor editAs="oneCell">
    <xdr:from>
      <xdr:col>12</xdr:col>
      <xdr:colOff>108857</xdr:colOff>
      <xdr:row>21</xdr:row>
      <xdr:rowOff>136072</xdr:rowOff>
    </xdr:from>
    <xdr:to>
      <xdr:col>14</xdr:col>
      <xdr:colOff>873697</xdr:colOff>
      <xdr:row>23</xdr:row>
      <xdr:rowOff>207535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348482" y="6527347"/>
          <a:ext cx="2612690" cy="604863"/>
        </a:xfrm>
        <a:prstGeom prst="rect">
          <a:avLst/>
        </a:prstGeom>
      </xdr:spPr>
    </xdr:pic>
    <xdr:clientData/>
  </xdr:twoCellAnchor>
  <xdr:twoCellAnchor editAs="oneCell">
    <xdr:from>
      <xdr:col>12</xdr:col>
      <xdr:colOff>81642</xdr:colOff>
      <xdr:row>33</xdr:row>
      <xdr:rowOff>136071</xdr:rowOff>
    </xdr:from>
    <xdr:to>
      <xdr:col>14</xdr:col>
      <xdr:colOff>846482</xdr:colOff>
      <xdr:row>35</xdr:row>
      <xdr:rowOff>207533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321267" y="10365921"/>
          <a:ext cx="2612690" cy="604863"/>
        </a:xfrm>
        <a:prstGeom prst="rect">
          <a:avLst/>
        </a:prstGeom>
      </xdr:spPr>
    </xdr:pic>
    <xdr:clientData/>
  </xdr:twoCellAnchor>
  <xdr:twoCellAnchor editAs="oneCell">
    <xdr:from>
      <xdr:col>12</xdr:col>
      <xdr:colOff>95249</xdr:colOff>
      <xdr:row>45</xdr:row>
      <xdr:rowOff>163285</xdr:rowOff>
    </xdr:from>
    <xdr:to>
      <xdr:col>14</xdr:col>
      <xdr:colOff>860089</xdr:colOff>
      <xdr:row>47</xdr:row>
      <xdr:rowOff>234747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334874" y="14269810"/>
          <a:ext cx="2612690" cy="604863"/>
        </a:xfrm>
        <a:prstGeom prst="rect">
          <a:avLst/>
        </a:prstGeom>
      </xdr:spPr>
    </xdr:pic>
    <xdr:clientData/>
  </xdr:twoCellAnchor>
  <xdr:twoCellAnchor editAs="oneCell">
    <xdr:from>
      <xdr:col>12</xdr:col>
      <xdr:colOff>122464</xdr:colOff>
      <xdr:row>57</xdr:row>
      <xdr:rowOff>176893</xdr:rowOff>
    </xdr:from>
    <xdr:to>
      <xdr:col>14</xdr:col>
      <xdr:colOff>887304</xdr:colOff>
      <xdr:row>59</xdr:row>
      <xdr:rowOff>248356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362089" y="18121993"/>
          <a:ext cx="2612690" cy="604863"/>
        </a:xfrm>
        <a:prstGeom prst="rect">
          <a:avLst/>
        </a:prstGeom>
      </xdr:spPr>
    </xdr:pic>
    <xdr:clientData/>
  </xdr:twoCellAnchor>
  <xdr:twoCellAnchor editAs="oneCell">
    <xdr:from>
      <xdr:col>28</xdr:col>
      <xdr:colOff>95251</xdr:colOff>
      <xdr:row>9</xdr:row>
      <xdr:rowOff>190500</xdr:rowOff>
    </xdr:from>
    <xdr:to>
      <xdr:col>30</xdr:col>
      <xdr:colOff>860090</xdr:colOff>
      <xdr:row>11</xdr:row>
      <xdr:rowOff>261962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17851" y="2619375"/>
          <a:ext cx="2612689" cy="604863"/>
        </a:xfrm>
        <a:prstGeom prst="rect">
          <a:avLst/>
        </a:prstGeom>
      </xdr:spPr>
    </xdr:pic>
    <xdr:clientData/>
  </xdr:twoCellAnchor>
  <xdr:twoCellAnchor editAs="oneCell">
    <xdr:from>
      <xdr:col>28</xdr:col>
      <xdr:colOff>163287</xdr:colOff>
      <xdr:row>21</xdr:row>
      <xdr:rowOff>204107</xdr:rowOff>
    </xdr:from>
    <xdr:to>
      <xdr:col>30</xdr:col>
      <xdr:colOff>928126</xdr:colOff>
      <xdr:row>24</xdr:row>
      <xdr:rowOff>3427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85887" y="6595382"/>
          <a:ext cx="2612689" cy="599420"/>
        </a:xfrm>
        <a:prstGeom prst="rect">
          <a:avLst/>
        </a:prstGeom>
      </xdr:spPr>
    </xdr:pic>
    <xdr:clientData/>
  </xdr:twoCellAnchor>
  <xdr:twoCellAnchor editAs="oneCell">
    <xdr:from>
      <xdr:col>28</xdr:col>
      <xdr:colOff>149679</xdr:colOff>
      <xdr:row>33</xdr:row>
      <xdr:rowOff>190500</xdr:rowOff>
    </xdr:from>
    <xdr:to>
      <xdr:col>30</xdr:col>
      <xdr:colOff>914518</xdr:colOff>
      <xdr:row>35</xdr:row>
      <xdr:rowOff>261962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72279" y="10420350"/>
          <a:ext cx="2612689" cy="604863"/>
        </a:xfrm>
        <a:prstGeom prst="rect">
          <a:avLst/>
        </a:prstGeom>
      </xdr:spPr>
    </xdr:pic>
    <xdr:clientData/>
  </xdr:twoCellAnchor>
  <xdr:twoCellAnchor editAs="oneCell">
    <xdr:from>
      <xdr:col>28</xdr:col>
      <xdr:colOff>122465</xdr:colOff>
      <xdr:row>45</xdr:row>
      <xdr:rowOff>176893</xdr:rowOff>
    </xdr:from>
    <xdr:to>
      <xdr:col>30</xdr:col>
      <xdr:colOff>887304</xdr:colOff>
      <xdr:row>47</xdr:row>
      <xdr:rowOff>248355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45065" y="14283418"/>
          <a:ext cx="2612689" cy="604863"/>
        </a:xfrm>
        <a:prstGeom prst="rect">
          <a:avLst/>
        </a:prstGeom>
      </xdr:spPr>
    </xdr:pic>
    <xdr:clientData/>
  </xdr:twoCellAnchor>
  <xdr:twoCellAnchor editAs="oneCell">
    <xdr:from>
      <xdr:col>28</xdr:col>
      <xdr:colOff>81644</xdr:colOff>
      <xdr:row>57</xdr:row>
      <xdr:rowOff>204108</xdr:rowOff>
    </xdr:from>
    <xdr:to>
      <xdr:col>30</xdr:col>
      <xdr:colOff>846483</xdr:colOff>
      <xdr:row>60</xdr:row>
      <xdr:rowOff>3428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04244" y="18149208"/>
          <a:ext cx="2612689" cy="599420"/>
        </a:xfrm>
        <a:prstGeom prst="rect">
          <a:avLst/>
        </a:prstGeom>
      </xdr:spPr>
    </xdr:pic>
    <xdr:clientData/>
  </xdr:twoCellAnchor>
  <xdr:twoCellAnchor editAs="oneCell">
    <xdr:from>
      <xdr:col>44</xdr:col>
      <xdr:colOff>95251</xdr:colOff>
      <xdr:row>9</xdr:row>
      <xdr:rowOff>217715</xdr:rowOff>
    </xdr:from>
    <xdr:to>
      <xdr:col>46</xdr:col>
      <xdr:colOff>860090</xdr:colOff>
      <xdr:row>12</xdr:row>
      <xdr:rowOff>17035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462701" y="2646590"/>
          <a:ext cx="2612689" cy="599421"/>
        </a:xfrm>
        <a:prstGeom prst="rect">
          <a:avLst/>
        </a:prstGeom>
      </xdr:spPr>
    </xdr:pic>
    <xdr:clientData/>
  </xdr:twoCellAnchor>
  <xdr:twoCellAnchor editAs="oneCell">
    <xdr:from>
      <xdr:col>44</xdr:col>
      <xdr:colOff>108858</xdr:colOff>
      <xdr:row>21</xdr:row>
      <xdr:rowOff>149679</xdr:rowOff>
    </xdr:from>
    <xdr:to>
      <xdr:col>46</xdr:col>
      <xdr:colOff>873697</xdr:colOff>
      <xdr:row>23</xdr:row>
      <xdr:rowOff>221142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476308" y="6540954"/>
          <a:ext cx="2612689" cy="604863"/>
        </a:xfrm>
        <a:prstGeom prst="rect">
          <a:avLst/>
        </a:prstGeom>
      </xdr:spPr>
    </xdr:pic>
    <xdr:clientData/>
  </xdr:twoCellAnchor>
  <xdr:twoCellAnchor editAs="oneCell">
    <xdr:from>
      <xdr:col>44</xdr:col>
      <xdr:colOff>95250</xdr:colOff>
      <xdr:row>33</xdr:row>
      <xdr:rowOff>176893</xdr:rowOff>
    </xdr:from>
    <xdr:to>
      <xdr:col>46</xdr:col>
      <xdr:colOff>860089</xdr:colOff>
      <xdr:row>35</xdr:row>
      <xdr:rowOff>248355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462700" y="10406743"/>
          <a:ext cx="2612689" cy="604863"/>
        </a:xfrm>
        <a:prstGeom prst="rect">
          <a:avLst/>
        </a:prstGeom>
      </xdr:spPr>
    </xdr:pic>
    <xdr:clientData/>
  </xdr:twoCellAnchor>
  <xdr:twoCellAnchor editAs="oneCell">
    <xdr:from>
      <xdr:col>44</xdr:col>
      <xdr:colOff>122465</xdr:colOff>
      <xdr:row>45</xdr:row>
      <xdr:rowOff>176893</xdr:rowOff>
    </xdr:from>
    <xdr:to>
      <xdr:col>46</xdr:col>
      <xdr:colOff>887304</xdr:colOff>
      <xdr:row>47</xdr:row>
      <xdr:rowOff>248355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489915" y="14283418"/>
          <a:ext cx="2612689" cy="604863"/>
        </a:xfrm>
        <a:prstGeom prst="rect">
          <a:avLst/>
        </a:prstGeom>
      </xdr:spPr>
    </xdr:pic>
    <xdr:clientData/>
  </xdr:twoCellAnchor>
  <xdr:twoCellAnchor editAs="oneCell">
    <xdr:from>
      <xdr:col>44</xdr:col>
      <xdr:colOff>136072</xdr:colOff>
      <xdr:row>57</xdr:row>
      <xdr:rowOff>231322</xdr:rowOff>
    </xdr:from>
    <xdr:to>
      <xdr:col>46</xdr:col>
      <xdr:colOff>900911</xdr:colOff>
      <xdr:row>60</xdr:row>
      <xdr:rowOff>30642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503522" y="18176422"/>
          <a:ext cx="2612689" cy="599420"/>
        </a:xfrm>
        <a:prstGeom prst="rect">
          <a:avLst/>
        </a:prstGeom>
      </xdr:spPr>
    </xdr:pic>
    <xdr:clientData/>
  </xdr:twoCellAnchor>
  <xdr:twoCellAnchor editAs="oneCell">
    <xdr:from>
      <xdr:col>60</xdr:col>
      <xdr:colOff>136072</xdr:colOff>
      <xdr:row>9</xdr:row>
      <xdr:rowOff>163286</xdr:rowOff>
    </xdr:from>
    <xdr:to>
      <xdr:col>62</xdr:col>
      <xdr:colOff>900911</xdr:colOff>
      <xdr:row>11</xdr:row>
      <xdr:rowOff>234748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448372" y="2592161"/>
          <a:ext cx="2612689" cy="604863"/>
        </a:xfrm>
        <a:prstGeom prst="rect">
          <a:avLst/>
        </a:prstGeom>
      </xdr:spPr>
    </xdr:pic>
    <xdr:clientData/>
  </xdr:twoCellAnchor>
  <xdr:twoCellAnchor editAs="oneCell">
    <xdr:from>
      <xdr:col>60</xdr:col>
      <xdr:colOff>108858</xdr:colOff>
      <xdr:row>21</xdr:row>
      <xdr:rowOff>176893</xdr:rowOff>
    </xdr:from>
    <xdr:to>
      <xdr:col>62</xdr:col>
      <xdr:colOff>873697</xdr:colOff>
      <xdr:row>23</xdr:row>
      <xdr:rowOff>248356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421158" y="6568168"/>
          <a:ext cx="2612689" cy="604863"/>
        </a:xfrm>
        <a:prstGeom prst="rect">
          <a:avLst/>
        </a:prstGeom>
      </xdr:spPr>
    </xdr:pic>
    <xdr:clientData/>
  </xdr:twoCellAnchor>
  <xdr:twoCellAnchor editAs="oneCell">
    <xdr:from>
      <xdr:col>60</xdr:col>
      <xdr:colOff>108858</xdr:colOff>
      <xdr:row>33</xdr:row>
      <xdr:rowOff>217715</xdr:rowOff>
    </xdr:from>
    <xdr:to>
      <xdr:col>62</xdr:col>
      <xdr:colOff>873697</xdr:colOff>
      <xdr:row>36</xdr:row>
      <xdr:rowOff>17036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421158" y="10447565"/>
          <a:ext cx="2612689" cy="599421"/>
        </a:xfrm>
        <a:prstGeom prst="rect">
          <a:avLst/>
        </a:prstGeom>
      </xdr:spPr>
    </xdr:pic>
    <xdr:clientData/>
  </xdr:twoCellAnchor>
  <xdr:twoCellAnchor editAs="oneCell">
    <xdr:from>
      <xdr:col>60</xdr:col>
      <xdr:colOff>149679</xdr:colOff>
      <xdr:row>45</xdr:row>
      <xdr:rowOff>176893</xdr:rowOff>
    </xdr:from>
    <xdr:to>
      <xdr:col>62</xdr:col>
      <xdr:colOff>914518</xdr:colOff>
      <xdr:row>47</xdr:row>
      <xdr:rowOff>248355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461979" y="14283418"/>
          <a:ext cx="2612689" cy="604863"/>
        </a:xfrm>
        <a:prstGeom prst="rect">
          <a:avLst/>
        </a:prstGeom>
      </xdr:spPr>
    </xdr:pic>
    <xdr:clientData/>
  </xdr:twoCellAnchor>
  <xdr:twoCellAnchor editAs="oneCell">
    <xdr:from>
      <xdr:col>60</xdr:col>
      <xdr:colOff>163286</xdr:colOff>
      <xdr:row>57</xdr:row>
      <xdr:rowOff>244928</xdr:rowOff>
    </xdr:from>
    <xdr:to>
      <xdr:col>62</xdr:col>
      <xdr:colOff>928125</xdr:colOff>
      <xdr:row>60</xdr:row>
      <xdr:rowOff>44248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475586" y="18190028"/>
          <a:ext cx="2612689" cy="5994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133350</xdr:colOff>
      <xdr:row>4</xdr:row>
      <xdr:rowOff>1</xdr:rowOff>
    </xdr:from>
    <xdr:to>
      <xdr:col>15</xdr:col>
      <xdr:colOff>390525</xdr:colOff>
      <xdr:row>7</xdr:row>
      <xdr:rowOff>155973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00825" y="647701"/>
          <a:ext cx="3667125" cy="70842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0</xdr:colOff>
          <xdr:row>6</xdr:row>
          <xdr:rowOff>141316</xdr:rowOff>
        </xdr:from>
        <xdr:to>
          <xdr:col>21</xdr:col>
          <xdr:colOff>440575</xdr:colOff>
          <xdr:row>8</xdr:row>
          <xdr:rowOff>41564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5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Tax Material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955964</xdr:colOff>
          <xdr:row>7</xdr:row>
          <xdr:rowOff>133004</xdr:rowOff>
        </xdr:from>
        <xdr:to>
          <xdr:col>17</xdr:col>
          <xdr:colOff>324196</xdr:colOff>
          <xdr:row>11</xdr:row>
          <xdr:rowOff>24938</xdr:rowOff>
        </xdr:to>
        <xdr:sp macro="" textlink="">
          <xdr:nvSpPr>
            <xdr:cNvPr id="6146" name="Group Box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5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Install/Deliver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1022465</xdr:colOff>
          <xdr:row>8</xdr:row>
          <xdr:rowOff>24938</xdr:rowOff>
        </xdr:from>
        <xdr:to>
          <xdr:col>15</xdr:col>
          <xdr:colOff>1620982</xdr:colOff>
          <xdr:row>9</xdr:row>
          <xdr:rowOff>83127</xdr:rowOff>
        </xdr:to>
        <xdr:sp macro="" textlink="">
          <xdr:nvSpPr>
            <xdr:cNvPr id="6147" name="Option Button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5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1005840</xdr:colOff>
          <xdr:row>9</xdr:row>
          <xdr:rowOff>91440</xdr:rowOff>
        </xdr:from>
        <xdr:to>
          <xdr:col>15</xdr:col>
          <xdr:colOff>1620982</xdr:colOff>
          <xdr:row>10</xdr:row>
          <xdr:rowOff>149629</xdr:rowOff>
        </xdr:to>
        <xdr:sp macro="" textlink="">
          <xdr:nvSpPr>
            <xdr:cNvPr id="6148" name="Option Button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5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1712422</xdr:colOff>
          <xdr:row>8</xdr:row>
          <xdr:rowOff>16625</xdr:rowOff>
        </xdr:from>
        <xdr:to>
          <xdr:col>17</xdr:col>
          <xdr:colOff>249382</xdr:colOff>
          <xdr:row>9</xdr:row>
          <xdr:rowOff>74815</xdr:rowOff>
        </xdr:to>
        <xdr:sp macro="" textlink="">
          <xdr:nvSpPr>
            <xdr:cNvPr id="6149" name="Option Button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5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997527</xdr:colOff>
          <xdr:row>11</xdr:row>
          <xdr:rowOff>24938</xdr:rowOff>
        </xdr:from>
        <xdr:to>
          <xdr:col>17</xdr:col>
          <xdr:colOff>141316</xdr:colOff>
          <xdr:row>12</xdr:row>
          <xdr:rowOff>16625</xdr:rowOff>
        </xdr:to>
        <xdr:sp macro="" textlink="">
          <xdr:nvSpPr>
            <xdr:cNvPr id="6150" name="Check Box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5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Verified Measurements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997527</xdr:colOff>
          <xdr:row>11</xdr:row>
          <xdr:rowOff>24938</xdr:rowOff>
        </xdr:from>
        <xdr:to>
          <xdr:col>17</xdr:col>
          <xdr:colOff>141316</xdr:colOff>
          <xdr:row>12</xdr:row>
          <xdr:rowOff>16625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5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Verified Measurements</a:t>
              </a:r>
            </a:p>
          </xdr:txBody>
        </xdr:sp>
        <xdr:clientData/>
      </xdr:twoCellAnchor>
    </mc:Choice>
    <mc:Fallback/>
  </mc:AlternateContent>
  <xdr:twoCellAnchor editAs="oneCell">
    <xdr:from>
      <xdr:col>1</xdr:col>
      <xdr:colOff>219075</xdr:colOff>
      <xdr:row>0</xdr:row>
      <xdr:rowOff>47625</xdr:rowOff>
    </xdr:from>
    <xdr:to>
      <xdr:col>9</xdr:col>
      <xdr:colOff>200025</xdr:colOff>
      <xdr:row>3</xdr:row>
      <xdr:rowOff>76525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9625" y="47625"/>
          <a:ext cx="3305175" cy="6385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0</xdr:colOff>
          <xdr:row>6</xdr:row>
          <xdr:rowOff>141316</xdr:rowOff>
        </xdr:from>
        <xdr:to>
          <xdr:col>21</xdr:col>
          <xdr:colOff>440575</xdr:colOff>
          <xdr:row>8</xdr:row>
          <xdr:rowOff>41564</xdr:rowOff>
        </xdr:to>
        <xdr:sp macro="" textlink="">
          <xdr:nvSpPr>
            <xdr:cNvPr id="11265" name="Check Box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6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Tax Material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955964</xdr:colOff>
          <xdr:row>7</xdr:row>
          <xdr:rowOff>133004</xdr:rowOff>
        </xdr:from>
        <xdr:to>
          <xdr:col>17</xdr:col>
          <xdr:colOff>324196</xdr:colOff>
          <xdr:row>11</xdr:row>
          <xdr:rowOff>24938</xdr:rowOff>
        </xdr:to>
        <xdr:sp macro="" textlink="">
          <xdr:nvSpPr>
            <xdr:cNvPr id="11266" name="Group Box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6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Install/Deliver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1022465</xdr:colOff>
          <xdr:row>8</xdr:row>
          <xdr:rowOff>24938</xdr:rowOff>
        </xdr:from>
        <xdr:to>
          <xdr:col>15</xdr:col>
          <xdr:colOff>1620982</xdr:colOff>
          <xdr:row>9</xdr:row>
          <xdr:rowOff>83127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6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1005840</xdr:colOff>
          <xdr:row>9</xdr:row>
          <xdr:rowOff>91440</xdr:rowOff>
        </xdr:from>
        <xdr:to>
          <xdr:col>15</xdr:col>
          <xdr:colOff>1620982</xdr:colOff>
          <xdr:row>10</xdr:row>
          <xdr:rowOff>149629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6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1712422</xdr:colOff>
          <xdr:row>8</xdr:row>
          <xdr:rowOff>16625</xdr:rowOff>
        </xdr:from>
        <xdr:to>
          <xdr:col>17</xdr:col>
          <xdr:colOff>249382</xdr:colOff>
          <xdr:row>9</xdr:row>
          <xdr:rowOff>74815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6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997527</xdr:colOff>
          <xdr:row>11</xdr:row>
          <xdr:rowOff>24938</xdr:rowOff>
        </xdr:from>
        <xdr:to>
          <xdr:col>17</xdr:col>
          <xdr:colOff>141316</xdr:colOff>
          <xdr:row>12</xdr:row>
          <xdr:rowOff>16625</xdr:rowOff>
        </xdr:to>
        <xdr:sp macro="" textlink="">
          <xdr:nvSpPr>
            <xdr:cNvPr id="11270" name="Check Box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6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Verified Measurements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997527</xdr:colOff>
          <xdr:row>11</xdr:row>
          <xdr:rowOff>24938</xdr:rowOff>
        </xdr:from>
        <xdr:to>
          <xdr:col>17</xdr:col>
          <xdr:colOff>141316</xdr:colOff>
          <xdr:row>12</xdr:row>
          <xdr:rowOff>16625</xdr:rowOff>
        </xdr:to>
        <xdr:sp macro="" textlink="">
          <xdr:nvSpPr>
            <xdr:cNvPr id="11271" name="Check Box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6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Verified Measurements</a:t>
              </a:r>
            </a:p>
          </xdr:txBody>
        </xdr:sp>
        <xdr:clientData/>
      </xdr:twoCellAnchor>
    </mc:Choice>
    <mc:Fallback/>
  </mc:AlternateContent>
  <xdr:twoCellAnchor editAs="oneCell">
    <xdr:from>
      <xdr:col>1</xdr:col>
      <xdr:colOff>219075</xdr:colOff>
      <xdr:row>0</xdr:row>
      <xdr:rowOff>47625</xdr:rowOff>
    </xdr:from>
    <xdr:to>
      <xdr:col>9</xdr:col>
      <xdr:colOff>200025</xdr:colOff>
      <xdr:row>3</xdr:row>
      <xdr:rowOff>76525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9625" y="47625"/>
          <a:ext cx="3305175" cy="638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Quotations\OPEN%20BUILDER%20&amp;%20%20MISC.%20BIDS\Jobs%20bid%202020\Open%20Edge%20TI\Level%205%20Manuals%20Rms%20500-5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FORMS\01%20%20Costsheets\Costsheet%20NEW%20rollershade.xlt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Server\FM%20Groups\Utah%20FM%20Groups\Bountiful%20FM%20Group\Bldg%20%2311%20Stage%20201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Quotations\OPEN%20BUILDER%20&amp;%20%20MISC.%20BIDS\Jobs%20Bid%202015\WSU%20Athletic%20Cent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Server\FORMS\01%20%20Costsheets\Roller%20shade%20Worksheets\Copy%204%20MANUAL%20MASTER%20Roller%20Shades%20Costsheet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eno\Documents\Charlene's%20stuff\NEW%20template%20for%20worksheet%20build%20ou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2">
          <cell r="Y2">
            <v>29326</v>
          </cell>
        </row>
        <row r="4">
          <cell r="Y4">
            <v>0.01</v>
          </cell>
        </row>
        <row r="5">
          <cell r="C5" t="str">
            <v>Global Payments Inc.</v>
          </cell>
          <cell r="Y5">
            <v>13</v>
          </cell>
        </row>
        <row r="6">
          <cell r="Y6">
            <v>8</v>
          </cell>
        </row>
        <row r="7">
          <cell r="Y7">
            <v>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Factor list"/>
      <sheetName val="Tickets"/>
      <sheetName val="tube cutting sheet"/>
      <sheetName val="Data Sheet"/>
      <sheetName val="Tube Cut"/>
      <sheetName val="Worksheet (2)"/>
      <sheetName val="Tickets (2)"/>
      <sheetName val="Tube Cut (2)"/>
      <sheetName val="Fascia &amp; Package Labels"/>
      <sheetName val="Factor update"/>
    </sheetNames>
    <sheetDataSet>
      <sheetData sheetId="0" refreshError="1"/>
      <sheetData sheetId="1" refreshError="1">
        <row r="3">
          <cell r="R3" t="str">
            <v>x</v>
          </cell>
        </row>
        <row r="5">
          <cell r="AC5">
            <v>1.7999999999999999E-2</v>
          </cell>
        </row>
        <row r="6">
          <cell r="R6" t="str">
            <v>xx</v>
          </cell>
          <cell r="AC6">
            <v>13</v>
          </cell>
        </row>
        <row r="7">
          <cell r="N7" t="str">
            <v>DUE DATE:</v>
          </cell>
          <cell r="AC7">
            <v>6</v>
          </cell>
        </row>
        <row r="8">
          <cell r="AC8">
            <v>8</v>
          </cell>
        </row>
      </sheetData>
      <sheetData sheetId="2" refreshError="1">
        <row r="2">
          <cell r="P2">
            <v>3</v>
          </cell>
        </row>
      </sheetData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orksheet"/>
      <sheetName val="Tickets"/>
      <sheetName val="Tube Cut"/>
      <sheetName val="Worksheet 2"/>
      <sheetName val="Tickets 2"/>
      <sheetName val="Tube Cut 2"/>
      <sheetName val="Factor list"/>
      <sheetName val="General_Bid"/>
    </sheetNames>
    <sheetDataSet>
      <sheetData sheetId="0">
        <row r="4">
          <cell r="Y4">
            <v>8.9999999999999993E-3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apery Information Sheet"/>
      <sheetName val="Sales Order Worksheet"/>
      <sheetName val="Drapery Work Order"/>
      <sheetName val="TICKETS Drapery (1)"/>
      <sheetName val="Installation Work Order"/>
      <sheetName val="Cubicle Info Sheet"/>
      <sheetName val="Data Shee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3" Type="http://schemas.openxmlformats.org/officeDocument/2006/relationships/printerSettings" Target="../printerSettings/printerSettings2.bin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2" Type="http://schemas.openxmlformats.org/officeDocument/2006/relationships/hyperlink" Target="mailto:lnash@westlandconstruction.com" TargetMode="External"/><Relationship Id="rId1" Type="http://schemas.openxmlformats.org/officeDocument/2006/relationships/hyperlink" Target="mailto:msiufanua@westlandconstruction.com" TargetMode="External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vmlDrawing" Target="../drawings/vmlDrawing1.v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2.xml"/><Relationship Id="rId9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2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1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0.xml"/><Relationship Id="rId5" Type="http://schemas.openxmlformats.org/officeDocument/2006/relationships/ctrlProp" Target="../ctrlProps/ctrlProp9.xml"/><Relationship Id="rId10" Type="http://schemas.openxmlformats.org/officeDocument/2006/relationships/ctrlProp" Target="../ctrlProps/ctrlProp14.xml"/><Relationship Id="rId4" Type="http://schemas.openxmlformats.org/officeDocument/2006/relationships/ctrlProp" Target="../ctrlProps/ctrlProp8.xml"/><Relationship Id="rId9" Type="http://schemas.openxmlformats.org/officeDocument/2006/relationships/ctrlProp" Target="../ctrlProps/ctrlProp13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9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8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7.xml"/><Relationship Id="rId5" Type="http://schemas.openxmlformats.org/officeDocument/2006/relationships/ctrlProp" Target="../ctrlProps/ctrlProp16.xml"/><Relationship Id="rId10" Type="http://schemas.openxmlformats.org/officeDocument/2006/relationships/ctrlProp" Target="../ctrlProps/ctrlProp21.xml"/><Relationship Id="rId4" Type="http://schemas.openxmlformats.org/officeDocument/2006/relationships/ctrlProp" Target="../ctrlProps/ctrlProp15.xml"/><Relationship Id="rId9" Type="http://schemas.openxmlformats.org/officeDocument/2006/relationships/ctrlProp" Target="../ctrlProps/ctrlProp20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6:J119"/>
  <sheetViews>
    <sheetView showGridLines="0" view="pageBreakPreview" zoomScaleNormal="100" zoomScaleSheetLayoutView="100" workbookViewId="0">
      <selection activeCell="G18" sqref="G18"/>
    </sheetView>
  </sheetViews>
  <sheetFormatPr defaultColWidth="9.125" defaultRowHeight="12.45" x14ac:dyDescent="0.2"/>
  <cols>
    <col min="1" max="1" width="10.375" style="27" customWidth="1"/>
    <col min="2" max="2" width="15.75" style="27" customWidth="1"/>
    <col min="3" max="3" width="7" style="27" customWidth="1"/>
    <col min="4" max="4" width="12.25" style="27" customWidth="1"/>
    <col min="5" max="5" width="5.25" style="27" customWidth="1"/>
    <col min="6" max="6" width="7.375" style="27" customWidth="1"/>
    <col min="7" max="7" width="5.125" style="27" customWidth="1"/>
    <col min="8" max="8" width="13.125" style="27" customWidth="1"/>
    <col min="9" max="9" width="6.625" style="28" customWidth="1"/>
    <col min="10" max="16384" width="9.125" style="27"/>
  </cols>
  <sheetData>
    <row r="6" spans="1:9" ht="14.25" customHeight="1" x14ac:dyDescent="0.2"/>
    <row r="7" spans="1:9" ht="32.25" customHeight="1" x14ac:dyDescent="0.6">
      <c r="A7" s="467" t="s">
        <v>164</v>
      </c>
      <c r="B7" s="467"/>
      <c r="C7" s="467"/>
      <c r="D7" s="467"/>
      <c r="E7" s="467"/>
      <c r="F7" s="467"/>
      <c r="G7" s="467"/>
      <c r="H7" s="467"/>
      <c r="I7" s="467"/>
    </row>
    <row r="8" spans="1:9" s="29" customFormat="1" ht="9.85" customHeight="1" x14ac:dyDescent="0.2">
      <c r="A8" s="27"/>
      <c r="B8" s="27"/>
      <c r="C8" s="27"/>
      <c r="D8" s="27"/>
      <c r="E8" s="27"/>
      <c r="F8" s="27"/>
      <c r="G8" s="27"/>
      <c r="H8" s="27"/>
      <c r="I8" s="27"/>
    </row>
    <row r="9" spans="1:9" s="29" customFormat="1" ht="9.85" customHeight="1" x14ac:dyDescent="0.2">
      <c r="A9" s="27"/>
      <c r="B9" s="27"/>
      <c r="C9" s="27"/>
      <c r="D9" s="27"/>
      <c r="E9" s="27"/>
      <c r="F9" s="27"/>
      <c r="G9" s="27"/>
      <c r="H9" s="27"/>
      <c r="I9" s="27"/>
    </row>
    <row r="10" spans="1:9" s="29" customFormat="1" x14ac:dyDescent="0.2">
      <c r="A10" s="90" t="s">
        <v>182</v>
      </c>
      <c r="B10" s="91"/>
      <c r="I10" s="30"/>
    </row>
    <row r="11" spans="1:9" s="29" customFormat="1" x14ac:dyDescent="0.2">
      <c r="I11" s="30"/>
    </row>
    <row r="12" spans="1:9" s="29" customFormat="1" x14ac:dyDescent="0.2">
      <c r="E12" s="95" t="s">
        <v>195</v>
      </c>
      <c r="I12" s="30"/>
    </row>
    <row r="13" spans="1:9" s="29" customFormat="1" ht="15.55" customHeight="1" x14ac:dyDescent="0.25">
      <c r="A13" s="92" t="s">
        <v>193</v>
      </c>
      <c r="B13" s="49" t="str">
        <f>Worksheet!D5</f>
        <v>Westland Construction</v>
      </c>
      <c r="E13" s="29" t="s">
        <v>196</v>
      </c>
      <c r="I13" s="30"/>
    </row>
    <row r="14" spans="1:9" s="29" customFormat="1" ht="15.55" customHeight="1" x14ac:dyDescent="0.25">
      <c r="A14" s="92" t="s">
        <v>184</v>
      </c>
      <c r="B14" s="49" t="str">
        <f>Worksheet!D6</f>
        <v>PO Box J</v>
      </c>
      <c r="E14" s="29" t="s">
        <v>197</v>
      </c>
      <c r="I14" s="30"/>
    </row>
    <row r="15" spans="1:9" s="29" customFormat="1" ht="12.8" customHeight="1" x14ac:dyDescent="0.2">
      <c r="B15" s="49" t="str">
        <f>Worksheet!D7</f>
        <v>Pago Pago, American Samoa, 96799</v>
      </c>
      <c r="I15" s="30"/>
    </row>
    <row r="16" spans="1:9" s="29" customFormat="1" ht="15.55" customHeight="1" x14ac:dyDescent="0.2">
      <c r="I16" s="30"/>
    </row>
    <row r="17" spans="1:10" s="29" customFormat="1" ht="16.2" customHeight="1" x14ac:dyDescent="0.2">
      <c r="A17" s="29" t="s">
        <v>185</v>
      </c>
      <c r="B17" s="49" t="str">
        <f>Worksheet!D9</f>
        <v>Mikayah Siufanua</v>
      </c>
      <c r="I17" s="30"/>
    </row>
    <row r="18" spans="1:10" s="29" customFormat="1" ht="16.2" customHeight="1" x14ac:dyDescent="0.2">
      <c r="B18" s="49"/>
      <c r="I18" s="30"/>
    </row>
    <row r="19" spans="1:10" s="29" customFormat="1" ht="12.8" customHeight="1" x14ac:dyDescent="0.2">
      <c r="A19" s="29" t="s">
        <v>192</v>
      </c>
      <c r="B19" s="49" t="str">
        <f>Worksheet!D12</f>
        <v>msiufanua@westlandconstruction.com</v>
      </c>
      <c r="I19" s="30"/>
    </row>
    <row r="20" spans="1:10" s="29" customFormat="1" ht="12.8" customHeight="1" x14ac:dyDescent="0.2">
      <c r="A20" s="29" t="s">
        <v>187</v>
      </c>
      <c r="B20" s="49">
        <f>Worksheet!D11</f>
        <v>0</v>
      </c>
      <c r="I20" s="30"/>
    </row>
    <row r="21" spans="1:10" s="29" customFormat="1" ht="12.8" customHeight="1" x14ac:dyDescent="0.2">
      <c r="A21" s="29" t="s">
        <v>191</v>
      </c>
      <c r="B21" s="49">
        <f>Worksheet!D10</f>
        <v>0</v>
      </c>
      <c r="I21" s="30"/>
    </row>
    <row r="22" spans="1:10" s="29" customFormat="1" ht="12.8" customHeight="1" x14ac:dyDescent="0.25">
      <c r="A22" s="33"/>
      <c r="B22" s="33"/>
      <c r="C22" s="33"/>
      <c r="D22" s="33"/>
      <c r="E22" s="33"/>
      <c r="F22" s="33"/>
      <c r="I22" s="30"/>
    </row>
    <row r="23" spans="1:10" s="29" customFormat="1" ht="17.05" x14ac:dyDescent="0.35">
      <c r="A23" s="466" t="s">
        <v>183</v>
      </c>
      <c r="B23" s="466" t="str">
        <f>jobname</f>
        <v>Pago Pago Temple Endowment Change Order</v>
      </c>
      <c r="C23" s="33"/>
      <c r="D23" s="33"/>
      <c r="E23" s="33"/>
      <c r="F23" s="33"/>
      <c r="I23" s="30"/>
    </row>
    <row r="24" spans="1:10" s="29" customFormat="1" x14ac:dyDescent="0.2">
      <c r="I24" s="30"/>
    </row>
    <row r="25" spans="1:10" s="29" customFormat="1" x14ac:dyDescent="0.2">
      <c r="B25" s="29" t="s">
        <v>165</v>
      </c>
      <c r="I25" s="30"/>
    </row>
    <row r="26" spans="1:10" s="29" customFormat="1" x14ac:dyDescent="0.2">
      <c r="I26" s="30"/>
    </row>
    <row r="27" spans="1:10" s="29" customFormat="1" x14ac:dyDescent="0.2">
      <c r="B27" s="31"/>
      <c r="C27" s="31"/>
      <c r="D27" s="31"/>
      <c r="E27" s="31"/>
      <c r="F27" s="31"/>
      <c r="G27" s="31"/>
      <c r="I27" s="30"/>
    </row>
    <row r="28" spans="1:10" s="29" customFormat="1" ht="13.1" x14ac:dyDescent="0.25">
      <c r="B28" s="33" t="s">
        <v>166</v>
      </c>
      <c r="D28" s="32"/>
      <c r="E28" s="32"/>
      <c r="F28" s="32"/>
      <c r="G28" s="31"/>
      <c r="I28" s="30"/>
    </row>
    <row r="29" spans="1:10" s="29" customFormat="1" x14ac:dyDescent="0.2">
      <c r="I29" s="30"/>
      <c r="J29" s="30"/>
    </row>
    <row r="30" spans="1:10" s="29" customFormat="1" ht="13.1" x14ac:dyDescent="0.25">
      <c r="B30" s="33" t="s">
        <v>180</v>
      </c>
      <c r="I30" s="30"/>
      <c r="J30" s="30"/>
    </row>
    <row r="31" spans="1:10" s="29" customFormat="1" x14ac:dyDescent="0.2">
      <c r="I31" s="30"/>
      <c r="J31" s="30"/>
    </row>
    <row r="32" spans="1:10" s="29" customFormat="1" ht="13.1" x14ac:dyDescent="0.25">
      <c r="B32" s="33" t="s">
        <v>181</v>
      </c>
      <c r="I32" s="30"/>
      <c r="J32" s="30"/>
    </row>
    <row r="33" spans="1:10" s="29" customFormat="1" x14ac:dyDescent="0.2">
      <c r="I33" s="30"/>
      <c r="J33" s="30"/>
    </row>
    <row r="34" spans="1:10" s="29" customFormat="1" x14ac:dyDescent="0.2">
      <c r="I34" s="30"/>
      <c r="J34" s="30"/>
    </row>
    <row r="35" spans="1:10" s="29" customFormat="1" ht="13.1" x14ac:dyDescent="0.25">
      <c r="B35" s="344" t="s">
        <v>845</v>
      </c>
      <c r="C35" s="469" t="s">
        <v>839</v>
      </c>
      <c r="D35" s="469"/>
      <c r="E35" s="469"/>
      <c r="F35" s="469"/>
      <c r="G35" s="27"/>
      <c r="H35" s="27"/>
      <c r="I35" s="30"/>
    </row>
    <row r="36" spans="1:10" s="29" customFormat="1" x14ac:dyDescent="0.2">
      <c r="I36" s="30"/>
    </row>
    <row r="37" spans="1:10" ht="15.05" x14ac:dyDescent="0.25">
      <c r="A37" s="34"/>
      <c r="B37" s="27" t="s">
        <v>167</v>
      </c>
      <c r="C37" s="34"/>
      <c r="D37" s="35">
        <f>Worksheet!AE38</f>
        <v>12602.862500000001</v>
      </c>
    </row>
    <row r="38" spans="1:10" ht="15.05" x14ac:dyDescent="0.25">
      <c r="A38" s="34"/>
      <c r="B38" s="27" t="s">
        <v>168</v>
      </c>
      <c r="C38" s="36">
        <f>Worksheet!AC39</f>
        <v>0</v>
      </c>
      <c r="D38" s="45"/>
      <c r="E38" s="94"/>
      <c r="F38" s="94" t="s">
        <v>194</v>
      </c>
      <c r="G38" s="46"/>
    </row>
    <row r="39" spans="1:10" ht="15.05" x14ac:dyDescent="0.25">
      <c r="A39" s="34"/>
      <c r="B39" s="34"/>
      <c r="C39" s="34"/>
      <c r="D39" s="37">
        <f>SUM(D37:D38)</f>
        <v>12602.862500000001</v>
      </c>
    </row>
    <row r="40" spans="1:10" ht="15.05" x14ac:dyDescent="0.25">
      <c r="A40" s="360" t="s">
        <v>1376</v>
      </c>
      <c r="B40" s="34"/>
      <c r="C40" s="34"/>
      <c r="D40" s="37"/>
    </row>
    <row r="41" spans="1:10" x14ac:dyDescent="0.2">
      <c r="C41" s="38"/>
    </row>
    <row r="42" spans="1:10" ht="13.1" x14ac:dyDescent="0.25">
      <c r="B42" s="41" t="s">
        <v>837</v>
      </c>
    </row>
    <row r="43" spans="1:10" x14ac:dyDescent="0.2">
      <c r="A43" s="39"/>
      <c r="B43" s="343" t="s">
        <v>838</v>
      </c>
    </row>
    <row r="44" spans="1:10" x14ac:dyDescent="0.2">
      <c r="B44" s="27" t="s">
        <v>169</v>
      </c>
    </row>
    <row r="47" spans="1:10" x14ac:dyDescent="0.2">
      <c r="A47" s="27" t="s">
        <v>170</v>
      </c>
      <c r="E47" s="133" t="s">
        <v>822</v>
      </c>
      <c r="F47"/>
      <c r="G47"/>
    </row>
    <row r="48" spans="1:10" x14ac:dyDescent="0.2">
      <c r="E48"/>
      <c r="F48"/>
      <c r="G48"/>
    </row>
    <row r="50" spans="1:8" x14ac:dyDescent="0.2">
      <c r="A50" s="40"/>
      <c r="B50" s="40"/>
      <c r="C50" s="40"/>
      <c r="E50" s="468"/>
      <c r="F50" s="468"/>
      <c r="G50" s="468"/>
      <c r="H50" s="468"/>
    </row>
    <row r="51" spans="1:8" ht="20.149999999999999" customHeight="1" x14ac:dyDescent="0.2">
      <c r="A51" s="48"/>
      <c r="E51"/>
      <c r="F51"/>
      <c r="G51"/>
    </row>
    <row r="52" spans="1:8" ht="13.1" customHeight="1" x14ac:dyDescent="0.2">
      <c r="A52" s="27" t="s">
        <v>190</v>
      </c>
      <c r="E52" s="133" t="s">
        <v>836</v>
      </c>
      <c r="F52"/>
      <c r="G52"/>
    </row>
    <row r="53" spans="1:8" x14ac:dyDescent="0.2">
      <c r="A53" s="361" t="s">
        <v>171</v>
      </c>
      <c r="F53"/>
      <c r="G53"/>
    </row>
    <row r="54" spans="1:8" x14ac:dyDescent="0.2">
      <c r="A54" s="361"/>
      <c r="F54"/>
      <c r="G54"/>
    </row>
    <row r="55" spans="1:8" x14ac:dyDescent="0.2">
      <c r="A55" s="361"/>
      <c r="B55" s="470" t="s">
        <v>1377</v>
      </c>
      <c r="C55" s="470"/>
      <c r="D55" s="470"/>
      <c r="E55" s="470"/>
      <c r="F55" s="470"/>
      <c r="G55" s="470"/>
      <c r="H55" s="470"/>
    </row>
    <row r="56" spans="1:8" x14ac:dyDescent="0.2">
      <c r="A56" s="361"/>
      <c r="B56" s="470"/>
      <c r="C56" s="470"/>
      <c r="D56" s="470"/>
      <c r="E56" s="470"/>
      <c r="F56" s="470"/>
      <c r="G56" s="470"/>
      <c r="H56" s="470"/>
    </row>
    <row r="57" spans="1:8" x14ac:dyDescent="0.2">
      <c r="A57" s="362"/>
      <c r="E57"/>
    </row>
    <row r="60" spans="1:8" ht="13.1" x14ac:dyDescent="0.25">
      <c r="C60" s="41"/>
      <c r="G60" s="41"/>
    </row>
    <row r="62" spans="1:8" ht="13.1" x14ac:dyDescent="0.25">
      <c r="B62" s="41"/>
      <c r="F62" s="41"/>
    </row>
    <row r="64" spans="1:8" ht="13.1" x14ac:dyDescent="0.25">
      <c r="C64" s="42"/>
      <c r="E64" s="41"/>
    </row>
    <row r="66" spans="3:7" ht="13.1" x14ac:dyDescent="0.25">
      <c r="C66" s="41"/>
    </row>
    <row r="68" spans="3:7" ht="13.1" x14ac:dyDescent="0.25">
      <c r="C68" s="33"/>
      <c r="E68" s="41"/>
    </row>
    <row r="70" spans="3:7" ht="13.1" x14ac:dyDescent="0.25">
      <c r="C70" s="41"/>
    </row>
    <row r="71" spans="3:7" ht="13.1" x14ac:dyDescent="0.25">
      <c r="C71" s="41"/>
    </row>
    <row r="72" spans="3:7" ht="13.1" x14ac:dyDescent="0.25">
      <c r="C72" s="41"/>
    </row>
    <row r="73" spans="3:7" ht="13.1" x14ac:dyDescent="0.25">
      <c r="C73" s="41"/>
    </row>
    <row r="74" spans="3:7" ht="13.1" x14ac:dyDescent="0.25">
      <c r="C74" s="41"/>
    </row>
    <row r="75" spans="3:7" ht="13.1" x14ac:dyDescent="0.25">
      <c r="C75" s="41"/>
    </row>
    <row r="76" spans="3:7" ht="13.1" x14ac:dyDescent="0.25">
      <c r="C76" s="41"/>
    </row>
    <row r="78" spans="3:7" ht="13.1" x14ac:dyDescent="0.25">
      <c r="C78" s="43"/>
      <c r="D78" s="41"/>
      <c r="E78" s="43"/>
      <c r="G78" s="41"/>
    </row>
    <row r="85" spans="2:2" x14ac:dyDescent="0.2">
      <c r="B85" s="343" t="s">
        <v>839</v>
      </c>
    </row>
    <row r="86" spans="2:2" x14ac:dyDescent="0.2">
      <c r="B86" s="343" t="s">
        <v>840</v>
      </c>
    </row>
    <row r="87" spans="2:2" x14ac:dyDescent="0.2">
      <c r="B87" s="343" t="s">
        <v>844</v>
      </c>
    </row>
    <row r="88" spans="2:2" x14ac:dyDescent="0.2">
      <c r="B88" s="343" t="s">
        <v>841</v>
      </c>
    </row>
    <row r="89" spans="2:2" x14ac:dyDescent="0.2">
      <c r="B89" s="343" t="s">
        <v>843</v>
      </c>
    </row>
    <row r="90" spans="2:2" x14ac:dyDescent="0.2">
      <c r="B90" s="343" t="s">
        <v>842</v>
      </c>
    </row>
    <row r="114" spans="1:8" ht="13.1" x14ac:dyDescent="0.25">
      <c r="E114" s="41"/>
      <c r="H114" s="41"/>
    </row>
    <row r="116" spans="1:8" ht="13.1" x14ac:dyDescent="0.25">
      <c r="B116" s="41"/>
    </row>
    <row r="119" spans="1:8" ht="17.7" x14ac:dyDescent="0.3">
      <c r="A119" s="44"/>
    </row>
  </sheetData>
  <mergeCells count="4">
    <mergeCell ref="A7:I7"/>
    <mergeCell ref="E50:H50"/>
    <mergeCell ref="C35:F35"/>
    <mergeCell ref="B55:H56"/>
  </mergeCells>
  <phoneticPr fontId="27" type="noConversion"/>
  <dataValidations count="1">
    <dataValidation type="list" allowBlank="1" showInputMessage="1" showErrorMessage="1" sqref="C35" xr:uid="{3C7BA52A-DB06-4742-9C57-13DC672EF9D0}">
      <formula1>$B$85:$B$90</formula1>
    </dataValidation>
  </dataValidations>
  <printOptions gridLinesSet="0"/>
  <pageMargins left="0.97" right="0.69" top="0.5" bottom="0.5" header="0.5" footer="0.5"/>
  <pageSetup scale="95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6D4D9-D182-43C3-BF5E-D51E6E2311EA}">
  <sheetPr codeName="Sheet13"/>
  <dimension ref="A1:P161"/>
  <sheetViews>
    <sheetView showGridLines="0" workbookViewId="0">
      <pane ySplit="6" topLeftCell="A30" activePane="bottomLeft" state="frozen"/>
      <selection pane="bottomLeft" activeCell="M48" sqref="M48"/>
    </sheetView>
  </sheetViews>
  <sheetFormatPr defaultColWidth="9.125" defaultRowHeight="12.45" x14ac:dyDescent="0.2"/>
  <cols>
    <col min="1" max="1" width="29.75" style="151" customWidth="1"/>
    <col min="2" max="2" width="10.25" style="151" customWidth="1"/>
    <col min="3" max="3" width="4.25" style="103" customWidth="1"/>
    <col min="4" max="5" width="2.25" style="103" customWidth="1"/>
    <col min="6" max="6" width="5.25" style="103" customWidth="1"/>
    <col min="7" max="7" width="4" style="103" customWidth="1"/>
    <col min="8" max="8" width="2.125" style="103" customWidth="1"/>
    <col min="9" max="9" width="10.875" style="150" customWidth="1"/>
    <col min="10" max="10" width="9.375" style="149" bestFit="1" customWidth="1"/>
    <col min="11" max="11" width="10.875" style="148" customWidth="1"/>
    <col min="12" max="12" width="3.375" style="148" customWidth="1"/>
    <col min="13" max="13" width="7.25" style="147" customWidth="1"/>
    <col min="14" max="16384" width="9.125" style="103"/>
  </cols>
  <sheetData>
    <row r="1" spans="1:16" x14ac:dyDescent="0.2">
      <c r="A1" s="103"/>
      <c r="B1" s="103"/>
    </row>
    <row r="2" spans="1:16" x14ac:dyDescent="0.2">
      <c r="A2" s="103"/>
      <c r="B2" s="103"/>
      <c r="O2" s="103" t="s">
        <v>83</v>
      </c>
      <c r="P2" s="103">
        <v>3</v>
      </c>
    </row>
    <row r="3" spans="1:16" ht="32.75" x14ac:dyDescent="0.5">
      <c r="A3" s="186" t="s">
        <v>84</v>
      </c>
      <c r="B3" s="186"/>
    </row>
    <row r="4" spans="1:16" x14ac:dyDescent="0.2">
      <c r="A4" s="103"/>
      <c r="B4" s="103"/>
      <c r="M4" s="185" t="s">
        <v>85</v>
      </c>
    </row>
    <row r="5" spans="1:16" ht="13.1" x14ac:dyDescent="0.25">
      <c r="A5" s="103"/>
      <c r="B5" s="103"/>
      <c r="F5" s="104" t="s">
        <v>86</v>
      </c>
      <c r="G5" s="104"/>
      <c r="H5" s="104"/>
      <c r="I5" s="184" t="s">
        <v>87</v>
      </c>
      <c r="J5" s="183" t="s">
        <v>88</v>
      </c>
      <c r="K5" s="182" t="s">
        <v>89</v>
      </c>
      <c r="L5" s="182"/>
      <c r="M5" s="147" t="s">
        <v>90</v>
      </c>
    </row>
    <row r="6" spans="1:16" ht="13.1" x14ac:dyDescent="0.25">
      <c r="A6" s="181" t="s">
        <v>18</v>
      </c>
      <c r="B6" s="181"/>
      <c r="C6" s="181" t="s">
        <v>19</v>
      </c>
      <c r="D6" s="181"/>
      <c r="E6" s="181"/>
      <c r="F6" s="181" t="s">
        <v>91</v>
      </c>
      <c r="G6" s="181"/>
      <c r="H6" s="181"/>
      <c r="I6" s="180" t="s">
        <v>92</v>
      </c>
      <c r="J6" s="179" t="s">
        <v>92</v>
      </c>
      <c r="K6" s="178" t="s">
        <v>93</v>
      </c>
      <c r="L6" s="178"/>
      <c r="M6" s="177" t="s">
        <v>94</v>
      </c>
    </row>
    <row r="7" spans="1:16" ht="25.55" x14ac:dyDescent="0.4">
      <c r="A7" s="164" t="s">
        <v>227</v>
      </c>
      <c r="B7" s="156"/>
      <c r="C7" s="155"/>
      <c r="D7" s="155"/>
      <c r="E7" s="155"/>
      <c r="F7" s="155"/>
      <c r="G7" s="155"/>
      <c r="H7" s="155"/>
      <c r="I7" s="161"/>
      <c r="M7" s="160"/>
    </row>
    <row r="8" spans="1:16" x14ac:dyDescent="0.2">
      <c r="A8" s="159" t="s">
        <v>226</v>
      </c>
      <c r="B8" s="159"/>
      <c r="C8" s="157">
        <v>72</v>
      </c>
      <c r="D8" s="157" t="s">
        <v>97</v>
      </c>
      <c r="E8" s="157"/>
      <c r="F8" s="157">
        <v>90</v>
      </c>
      <c r="G8" s="157" t="s">
        <v>98</v>
      </c>
      <c r="H8" s="157"/>
      <c r="I8" s="154">
        <v>165.9</v>
      </c>
      <c r="J8" s="149">
        <f>+C8*F8*12</f>
        <v>77760</v>
      </c>
      <c r="K8" s="148">
        <f>+(I8+50)/J8</f>
        <v>2.776491769547325E-3</v>
      </c>
      <c r="M8" s="153">
        <f>+K8*markup</f>
        <v>8.3294753086419759E-3</v>
      </c>
    </row>
    <row r="9" spans="1:16" x14ac:dyDescent="0.2">
      <c r="A9" s="159" t="s">
        <v>226</v>
      </c>
      <c r="B9" s="159"/>
      <c r="C9" s="157">
        <v>118</v>
      </c>
      <c r="D9" s="157" t="s">
        <v>97</v>
      </c>
      <c r="E9" s="157"/>
      <c r="F9" s="157">
        <v>90</v>
      </c>
      <c r="G9" s="157" t="s">
        <v>98</v>
      </c>
      <c r="H9" s="157"/>
      <c r="I9" s="154">
        <v>468.3</v>
      </c>
      <c r="J9" s="149">
        <f>+C9*F9*12</f>
        <v>127440</v>
      </c>
      <c r="K9" s="148">
        <f>+(I9+50)/J9</f>
        <v>4.0670119271814182E-3</v>
      </c>
      <c r="M9" s="153">
        <f>+K9*markup</f>
        <v>1.2201035781544255E-2</v>
      </c>
    </row>
    <row r="10" spans="1:16" ht="15.05" customHeight="1" x14ac:dyDescent="0.4">
      <c r="A10" s="176"/>
      <c r="B10" s="176"/>
      <c r="I10" s="165"/>
      <c r="J10" s="175"/>
      <c r="K10" s="152"/>
      <c r="L10" s="152"/>
    </row>
    <row r="11" spans="1:16" ht="15.05" customHeight="1" x14ac:dyDescent="0.2"/>
    <row r="12" spans="1:16" ht="25.55" x14ac:dyDescent="0.4">
      <c r="A12" s="164" t="s">
        <v>135</v>
      </c>
      <c r="B12" s="156"/>
      <c r="C12" s="155"/>
      <c r="D12" s="155"/>
      <c r="E12" s="155"/>
      <c r="F12" s="155"/>
      <c r="G12" s="155"/>
      <c r="H12" s="155"/>
      <c r="I12" s="161"/>
      <c r="M12" s="160"/>
    </row>
    <row r="13" spans="1:16" x14ac:dyDescent="0.2">
      <c r="A13" s="159" t="s">
        <v>225</v>
      </c>
      <c r="B13" s="159"/>
      <c r="C13" s="157">
        <v>77</v>
      </c>
      <c r="D13" s="157" t="s">
        <v>97</v>
      </c>
      <c r="E13" s="157"/>
      <c r="F13" s="157">
        <v>90</v>
      </c>
      <c r="G13" s="157" t="s">
        <v>98</v>
      </c>
      <c r="H13" s="157"/>
      <c r="I13" s="154">
        <v>213</v>
      </c>
      <c r="J13" s="149">
        <f>+C13*F13*12</f>
        <v>83160</v>
      </c>
      <c r="K13" s="148">
        <f>+(I13+50)/J13</f>
        <v>3.1625781625781624E-3</v>
      </c>
      <c r="M13" s="153">
        <f>+K13*markup</f>
        <v>9.4877344877344876E-3</v>
      </c>
    </row>
    <row r="14" spans="1:16" x14ac:dyDescent="0.2">
      <c r="A14" s="159" t="s">
        <v>223</v>
      </c>
      <c r="B14" s="159"/>
      <c r="C14" s="157">
        <v>77</v>
      </c>
      <c r="D14" s="157" t="s">
        <v>97</v>
      </c>
      <c r="E14" s="157"/>
      <c r="F14" s="157">
        <v>90</v>
      </c>
      <c r="G14" s="157" t="s">
        <v>98</v>
      </c>
      <c r="H14" s="157"/>
      <c r="I14" s="154">
        <v>213</v>
      </c>
      <c r="J14" s="149">
        <f>+C14*F14*12</f>
        <v>83160</v>
      </c>
      <c r="K14" s="148">
        <f>+(I14+50)/J14</f>
        <v>3.1625781625781624E-3</v>
      </c>
      <c r="M14" s="153">
        <f>+K14*markup</f>
        <v>9.4877344877344876E-3</v>
      </c>
    </row>
    <row r="15" spans="1:16" x14ac:dyDescent="0.2">
      <c r="A15" s="159" t="s">
        <v>224</v>
      </c>
      <c r="B15" s="159"/>
      <c r="C15" s="157">
        <v>77</v>
      </c>
      <c r="D15" s="157" t="s">
        <v>97</v>
      </c>
      <c r="E15" s="157"/>
      <c r="F15" s="157">
        <v>90</v>
      </c>
      <c r="G15" s="157" t="s">
        <v>98</v>
      </c>
      <c r="H15" s="157"/>
      <c r="I15" s="154">
        <v>213</v>
      </c>
      <c r="J15" s="149">
        <f>+C15*F15*12</f>
        <v>83160</v>
      </c>
      <c r="K15" s="148">
        <f>+(I15+50)/J15</f>
        <v>3.1625781625781624E-3</v>
      </c>
      <c r="M15" s="153">
        <f>+K15*markup</f>
        <v>9.4877344877344876E-3</v>
      </c>
    </row>
    <row r="16" spans="1:16" x14ac:dyDescent="0.2">
      <c r="A16" s="159" t="s">
        <v>223</v>
      </c>
      <c r="B16" s="159"/>
      <c r="C16" s="157">
        <v>72</v>
      </c>
      <c r="D16" s="157" t="s">
        <v>97</v>
      </c>
      <c r="E16" s="157"/>
      <c r="F16" s="157">
        <v>90</v>
      </c>
      <c r="G16" s="157" t="s">
        <v>98</v>
      </c>
      <c r="H16" s="157"/>
      <c r="I16" s="154">
        <v>207</v>
      </c>
      <c r="J16" s="149">
        <f>+C16*F16*12</f>
        <v>77760</v>
      </c>
      <c r="K16" s="148">
        <f>+(I16+50)/J16</f>
        <v>3.3050411522633745E-3</v>
      </c>
      <c r="M16" s="153">
        <f>+K16*markup</f>
        <v>9.9151234567901245E-3</v>
      </c>
    </row>
    <row r="17" spans="1:13" x14ac:dyDescent="0.2">
      <c r="A17" s="156"/>
      <c r="B17" s="156"/>
      <c r="C17" s="155"/>
      <c r="D17" s="155"/>
      <c r="E17" s="155"/>
      <c r="F17" s="155"/>
      <c r="G17" s="155"/>
      <c r="H17" s="155"/>
      <c r="I17" s="161"/>
      <c r="M17" s="160"/>
    </row>
    <row r="19" spans="1:13" ht="25.55" x14ac:dyDescent="0.4">
      <c r="A19" s="164" t="s">
        <v>222</v>
      </c>
      <c r="B19" s="156"/>
      <c r="C19" s="155"/>
      <c r="D19" s="155"/>
      <c r="E19" s="155"/>
      <c r="F19" s="155"/>
      <c r="G19" s="155"/>
      <c r="H19" s="155"/>
      <c r="I19" s="161"/>
      <c r="M19" s="160"/>
    </row>
    <row r="20" spans="1:13" x14ac:dyDescent="0.2">
      <c r="A20" s="156" t="s">
        <v>146</v>
      </c>
      <c r="B20" s="163">
        <v>0.05</v>
      </c>
      <c r="C20" s="155">
        <v>98</v>
      </c>
      <c r="D20" s="162" t="s">
        <v>97</v>
      </c>
      <c r="E20" s="155"/>
      <c r="F20" s="155">
        <v>99</v>
      </c>
      <c r="G20" s="155" t="s">
        <v>98</v>
      </c>
      <c r="H20" s="155"/>
      <c r="I20" s="161">
        <v>470.91</v>
      </c>
      <c r="J20" s="149">
        <f t="shared" ref="J20:J32" si="0">+C20*F20*12</f>
        <v>116424</v>
      </c>
      <c r="K20" s="148">
        <f t="shared" ref="K20:K32" si="1">+(I20+50)/J20</f>
        <v>4.4742492956778681E-3</v>
      </c>
      <c r="M20" s="153">
        <f t="shared" ref="M20:M32" si="2">+K20*markup</f>
        <v>1.3422747887033605E-2</v>
      </c>
    </row>
    <row r="21" spans="1:13" x14ac:dyDescent="0.2">
      <c r="A21" s="156" t="s">
        <v>146</v>
      </c>
      <c r="B21" s="163">
        <v>0.03</v>
      </c>
      <c r="C21" s="155">
        <v>98</v>
      </c>
      <c r="D21" s="162" t="s">
        <v>97</v>
      </c>
      <c r="E21" s="155"/>
      <c r="F21" s="155">
        <v>99</v>
      </c>
      <c r="G21" s="155" t="s">
        <v>98</v>
      </c>
      <c r="H21" s="155"/>
      <c r="I21" s="161">
        <v>494.34</v>
      </c>
      <c r="J21" s="149">
        <f t="shared" si="0"/>
        <v>116424</v>
      </c>
      <c r="K21" s="148">
        <f t="shared" si="1"/>
        <v>4.6754964612107461E-3</v>
      </c>
      <c r="M21" s="153">
        <f t="shared" si="2"/>
        <v>1.4026489383632238E-2</v>
      </c>
    </row>
    <row r="22" spans="1:13" x14ac:dyDescent="0.2">
      <c r="A22" s="156" t="s">
        <v>146</v>
      </c>
      <c r="B22" s="163">
        <v>0.01</v>
      </c>
      <c r="C22" s="155">
        <v>98</v>
      </c>
      <c r="D22" s="162" t="s">
        <v>97</v>
      </c>
      <c r="E22" s="155"/>
      <c r="F22" s="155">
        <v>99</v>
      </c>
      <c r="G22" s="155" t="s">
        <v>98</v>
      </c>
      <c r="H22" s="155"/>
      <c r="I22" s="161">
        <v>530.94000000000005</v>
      </c>
      <c r="J22" s="149">
        <f t="shared" si="0"/>
        <v>116424</v>
      </c>
      <c r="K22" s="148">
        <f t="shared" si="1"/>
        <v>4.9898646327217761E-3</v>
      </c>
      <c r="M22" s="153">
        <f t="shared" si="2"/>
        <v>1.4969593898165328E-2</v>
      </c>
    </row>
    <row r="23" spans="1:13" x14ac:dyDescent="0.2">
      <c r="A23" s="159" t="s">
        <v>148</v>
      </c>
      <c r="B23" s="174">
        <v>0.03</v>
      </c>
      <c r="C23" s="157">
        <v>98</v>
      </c>
      <c r="D23" s="158" t="s">
        <v>97</v>
      </c>
      <c r="E23" s="157"/>
      <c r="F23" s="157">
        <v>99</v>
      </c>
      <c r="G23" s="157" t="s">
        <v>98</v>
      </c>
      <c r="H23" s="157"/>
      <c r="I23" s="154">
        <v>476.85</v>
      </c>
      <c r="J23" s="149">
        <f t="shared" si="0"/>
        <v>116424</v>
      </c>
      <c r="K23" s="148">
        <f t="shared" si="1"/>
        <v>4.5252697038411322E-3</v>
      </c>
      <c r="M23" s="153">
        <f t="shared" si="2"/>
        <v>1.3575809111523396E-2</v>
      </c>
    </row>
    <row r="24" spans="1:13" x14ac:dyDescent="0.2">
      <c r="A24" s="159" t="s">
        <v>149</v>
      </c>
      <c r="B24" s="174">
        <v>0.03</v>
      </c>
      <c r="C24" s="157">
        <v>98</v>
      </c>
      <c r="D24" s="158" t="s">
        <v>97</v>
      </c>
      <c r="E24" s="157"/>
      <c r="F24" s="157">
        <v>99</v>
      </c>
      <c r="G24" s="157" t="s">
        <v>98</v>
      </c>
      <c r="H24" s="157"/>
      <c r="I24" s="154">
        <v>470.91</v>
      </c>
      <c r="J24" s="149">
        <f t="shared" si="0"/>
        <v>116424</v>
      </c>
      <c r="K24" s="148">
        <f t="shared" si="1"/>
        <v>4.4742492956778681E-3</v>
      </c>
      <c r="M24" s="153">
        <f t="shared" si="2"/>
        <v>1.3422747887033605E-2</v>
      </c>
    </row>
    <row r="25" spans="1:13" x14ac:dyDescent="0.2">
      <c r="A25" s="159" t="s">
        <v>152</v>
      </c>
      <c r="B25" s="174">
        <v>0.05</v>
      </c>
      <c r="C25" s="157">
        <v>98</v>
      </c>
      <c r="D25" s="158" t="s">
        <v>97</v>
      </c>
      <c r="E25" s="157"/>
      <c r="F25" s="157">
        <v>99</v>
      </c>
      <c r="G25" s="157" t="s">
        <v>98</v>
      </c>
      <c r="H25" s="157"/>
      <c r="I25" s="154">
        <v>509.63</v>
      </c>
      <c r="J25" s="149">
        <f t="shared" si="0"/>
        <v>116424</v>
      </c>
      <c r="K25" s="148">
        <f t="shared" si="1"/>
        <v>4.8068267711124857E-3</v>
      </c>
      <c r="M25" s="153">
        <f t="shared" si="2"/>
        <v>1.4420480313337456E-2</v>
      </c>
    </row>
    <row r="26" spans="1:13" x14ac:dyDescent="0.2">
      <c r="A26" s="159" t="s">
        <v>153</v>
      </c>
      <c r="B26" s="174">
        <v>0.03</v>
      </c>
      <c r="C26" s="157">
        <v>98</v>
      </c>
      <c r="D26" s="158" t="s">
        <v>97</v>
      </c>
      <c r="E26" s="157"/>
      <c r="F26" s="155">
        <v>99</v>
      </c>
      <c r="G26" s="155" t="s">
        <v>98</v>
      </c>
      <c r="H26" s="155"/>
      <c r="I26" s="161">
        <v>494.34</v>
      </c>
      <c r="J26" s="149">
        <f t="shared" si="0"/>
        <v>116424</v>
      </c>
      <c r="K26" s="148">
        <f t="shared" si="1"/>
        <v>4.6754964612107461E-3</v>
      </c>
      <c r="M26" s="153">
        <f t="shared" si="2"/>
        <v>1.4026489383632238E-2</v>
      </c>
    </row>
    <row r="27" spans="1:13" x14ac:dyDescent="0.2">
      <c r="A27" s="159" t="s">
        <v>153</v>
      </c>
      <c r="B27" s="174">
        <v>0.05</v>
      </c>
      <c r="C27" s="157">
        <v>98</v>
      </c>
      <c r="D27" s="158" t="s">
        <v>97</v>
      </c>
      <c r="E27" s="157"/>
      <c r="F27" s="155">
        <v>99</v>
      </c>
      <c r="G27" s="155" t="s">
        <v>98</v>
      </c>
      <c r="H27" s="155"/>
      <c r="I27" s="161">
        <v>470.91</v>
      </c>
      <c r="J27" s="149">
        <f t="shared" si="0"/>
        <v>116424</v>
      </c>
      <c r="K27" s="148">
        <f t="shared" si="1"/>
        <v>4.4742492956778681E-3</v>
      </c>
      <c r="M27" s="153">
        <f t="shared" si="2"/>
        <v>1.3422747887033605E-2</v>
      </c>
    </row>
    <row r="28" spans="1:13" x14ac:dyDescent="0.2">
      <c r="A28" s="159" t="s">
        <v>154</v>
      </c>
      <c r="B28" s="174">
        <v>0.05</v>
      </c>
      <c r="C28" s="157">
        <v>98</v>
      </c>
      <c r="D28" s="158" t="s">
        <v>97</v>
      </c>
      <c r="E28" s="157"/>
      <c r="F28" s="155">
        <v>99</v>
      </c>
      <c r="G28" s="155" t="s">
        <v>98</v>
      </c>
      <c r="H28" s="155"/>
      <c r="I28" s="161">
        <v>517.44000000000005</v>
      </c>
      <c r="J28" s="149">
        <f t="shared" si="0"/>
        <v>116424</v>
      </c>
      <c r="K28" s="148">
        <f t="shared" si="1"/>
        <v>4.8739091596234456E-3</v>
      </c>
      <c r="M28" s="153">
        <f t="shared" si="2"/>
        <v>1.4621727478870337E-2</v>
      </c>
    </row>
    <row r="29" spans="1:13" x14ac:dyDescent="0.2">
      <c r="A29" s="159" t="s">
        <v>155</v>
      </c>
      <c r="B29" s="174">
        <v>0.03</v>
      </c>
      <c r="C29" s="157">
        <v>98</v>
      </c>
      <c r="D29" s="158" t="s">
        <v>97</v>
      </c>
      <c r="E29" s="157"/>
      <c r="F29" s="155">
        <v>99</v>
      </c>
      <c r="G29" s="155" t="s">
        <v>98</v>
      </c>
      <c r="H29" s="155"/>
      <c r="I29" s="161">
        <v>545.71</v>
      </c>
      <c r="J29" s="149">
        <f t="shared" si="0"/>
        <v>116424</v>
      </c>
      <c r="K29" s="148">
        <f t="shared" si="1"/>
        <v>5.1167285095856524E-3</v>
      </c>
      <c r="M29" s="153">
        <f t="shared" si="2"/>
        <v>1.5350185528756957E-2</v>
      </c>
    </row>
    <row r="30" spans="1:13" x14ac:dyDescent="0.2">
      <c r="A30" s="159" t="s">
        <v>156</v>
      </c>
      <c r="B30" s="174">
        <v>0.1</v>
      </c>
      <c r="C30" s="157">
        <v>98</v>
      </c>
      <c r="D30" s="158" t="s">
        <v>97</v>
      </c>
      <c r="E30" s="157"/>
      <c r="F30" s="155">
        <v>99</v>
      </c>
      <c r="G30" s="155" t="s">
        <v>98</v>
      </c>
      <c r="H30" s="155"/>
      <c r="I30" s="161">
        <v>462.53</v>
      </c>
      <c r="J30" s="149">
        <f t="shared" si="0"/>
        <v>116424</v>
      </c>
      <c r="K30" s="148">
        <f t="shared" si="1"/>
        <v>4.4022710094138665E-3</v>
      </c>
      <c r="M30" s="153">
        <f t="shared" si="2"/>
        <v>1.32068130282416E-2</v>
      </c>
    </row>
    <row r="31" spans="1:13" x14ac:dyDescent="0.2">
      <c r="A31" s="159" t="s">
        <v>158</v>
      </c>
      <c r="B31" s="174">
        <v>0.01</v>
      </c>
      <c r="C31" s="157">
        <v>98</v>
      </c>
      <c r="D31" s="158" t="s">
        <v>97</v>
      </c>
      <c r="E31" s="157"/>
      <c r="F31" s="157">
        <v>99</v>
      </c>
      <c r="G31" s="157" t="s">
        <v>98</v>
      </c>
      <c r="H31" s="157"/>
      <c r="I31" s="154">
        <v>507.21</v>
      </c>
      <c r="J31" s="149">
        <f t="shared" si="0"/>
        <v>116424</v>
      </c>
      <c r="K31" s="148">
        <f t="shared" si="1"/>
        <v>4.7860406788978217E-3</v>
      </c>
      <c r="M31" s="153">
        <f t="shared" si="2"/>
        <v>1.4358122036693465E-2</v>
      </c>
    </row>
    <row r="32" spans="1:13" x14ac:dyDescent="0.2">
      <c r="A32" s="159" t="s">
        <v>159</v>
      </c>
      <c r="B32" s="174">
        <v>0.01</v>
      </c>
      <c r="C32" s="170">
        <v>98</v>
      </c>
      <c r="D32" s="171" t="s">
        <v>97</v>
      </c>
      <c r="E32" s="170"/>
      <c r="F32" s="170">
        <v>99</v>
      </c>
      <c r="G32" s="170" t="s">
        <v>98</v>
      </c>
      <c r="H32" s="170"/>
      <c r="I32" s="169">
        <v>507.21</v>
      </c>
      <c r="J32" s="149">
        <f t="shared" si="0"/>
        <v>116424</v>
      </c>
      <c r="K32" s="148">
        <f t="shared" si="1"/>
        <v>4.7860406788978217E-3</v>
      </c>
      <c r="M32" s="168">
        <f t="shared" si="2"/>
        <v>1.4358122036693465E-2</v>
      </c>
    </row>
    <row r="33" spans="1:13" x14ac:dyDescent="0.2">
      <c r="D33" s="166"/>
      <c r="I33" s="165"/>
    </row>
    <row r="34" spans="1:13" x14ac:dyDescent="0.2">
      <c r="D34" s="166"/>
      <c r="I34" s="165"/>
    </row>
    <row r="35" spans="1:13" x14ac:dyDescent="0.2">
      <c r="D35" s="166"/>
      <c r="I35" s="165"/>
    </row>
    <row r="36" spans="1:13" ht="25.55" x14ac:dyDescent="0.4">
      <c r="A36" s="164" t="s">
        <v>221</v>
      </c>
      <c r="B36" s="156"/>
      <c r="C36" s="155"/>
      <c r="D36" s="162"/>
      <c r="E36" s="155"/>
      <c r="F36" s="155"/>
      <c r="G36" s="155"/>
      <c r="H36" s="155"/>
      <c r="I36" s="161"/>
      <c r="M36" s="160"/>
    </row>
    <row r="37" spans="1:13" x14ac:dyDescent="0.2">
      <c r="A37" s="159" t="s">
        <v>220</v>
      </c>
      <c r="B37" s="174">
        <v>0.03</v>
      </c>
      <c r="C37" s="157">
        <v>98</v>
      </c>
      <c r="D37" s="158" t="s">
        <v>97</v>
      </c>
      <c r="E37" s="157"/>
      <c r="F37" s="157">
        <v>90</v>
      </c>
      <c r="G37" s="157" t="s">
        <v>98</v>
      </c>
      <c r="H37" s="157"/>
      <c r="I37" s="154">
        <v>448.5</v>
      </c>
      <c r="J37" s="149">
        <f t="shared" ref="J37:J43" si="3">+C37*F37*12</f>
        <v>105840</v>
      </c>
      <c r="K37" s="148">
        <f t="shared" ref="K37:K43" si="4">+(I37+50)/J37</f>
        <v>4.709939531368103E-3</v>
      </c>
      <c r="L37" s="152"/>
      <c r="M37" s="153">
        <f t="shared" ref="M37:M43" si="5">+K37*markup</f>
        <v>1.412981859410431E-2</v>
      </c>
    </row>
    <row r="38" spans="1:13" x14ac:dyDescent="0.2">
      <c r="A38" s="159" t="s">
        <v>219</v>
      </c>
      <c r="B38" s="174">
        <v>0.01</v>
      </c>
      <c r="C38" s="157">
        <v>98</v>
      </c>
      <c r="D38" s="158" t="s">
        <v>97</v>
      </c>
      <c r="E38" s="157"/>
      <c r="F38" s="157">
        <v>90</v>
      </c>
      <c r="G38" s="157" t="s">
        <v>98</v>
      </c>
      <c r="H38" s="157"/>
      <c r="I38" s="154">
        <v>472.5</v>
      </c>
      <c r="J38" s="149">
        <f t="shared" si="3"/>
        <v>105840</v>
      </c>
      <c r="K38" s="148">
        <f t="shared" si="4"/>
        <v>4.9366969009826149E-3</v>
      </c>
      <c r="L38" s="152"/>
      <c r="M38" s="153">
        <f t="shared" si="5"/>
        <v>1.4810090702947844E-2</v>
      </c>
    </row>
    <row r="39" spans="1:13" x14ac:dyDescent="0.2">
      <c r="A39" s="159" t="s">
        <v>218</v>
      </c>
      <c r="B39" s="174">
        <v>0.05</v>
      </c>
      <c r="C39" s="157">
        <v>98</v>
      </c>
      <c r="D39" s="158" t="s">
        <v>97</v>
      </c>
      <c r="E39" s="157"/>
      <c r="F39" s="157">
        <v>90</v>
      </c>
      <c r="G39" s="157" t="s">
        <v>98</v>
      </c>
      <c r="H39" s="157"/>
      <c r="I39" s="154">
        <v>393.6</v>
      </c>
      <c r="J39" s="149">
        <f t="shared" si="3"/>
        <v>105840</v>
      </c>
      <c r="K39" s="148">
        <f t="shared" si="4"/>
        <v>4.1912320483749061E-3</v>
      </c>
      <c r="L39" s="152"/>
      <c r="M39" s="153">
        <f t="shared" si="5"/>
        <v>1.2573696145124718E-2</v>
      </c>
    </row>
    <row r="40" spans="1:13" x14ac:dyDescent="0.2">
      <c r="A40" s="159" t="s">
        <v>217</v>
      </c>
      <c r="B40" s="159"/>
      <c r="C40" s="157">
        <v>98</v>
      </c>
      <c r="D40" s="158" t="s">
        <v>97</v>
      </c>
      <c r="E40" s="157"/>
      <c r="F40" s="157">
        <v>90</v>
      </c>
      <c r="G40" s="157" t="s">
        <v>98</v>
      </c>
      <c r="H40" s="157"/>
      <c r="I40" s="154">
        <v>357</v>
      </c>
      <c r="J40" s="149">
        <f t="shared" si="3"/>
        <v>105840</v>
      </c>
      <c r="K40" s="148">
        <f t="shared" si="4"/>
        <v>3.845427059712774E-3</v>
      </c>
      <c r="L40" s="152"/>
      <c r="M40" s="153">
        <f t="shared" si="5"/>
        <v>1.1536281179138321E-2</v>
      </c>
    </row>
    <row r="41" spans="1:13" x14ac:dyDescent="0.2">
      <c r="A41" s="159" t="s">
        <v>216</v>
      </c>
      <c r="B41" s="174">
        <v>0.05</v>
      </c>
      <c r="C41" s="157">
        <v>98</v>
      </c>
      <c r="D41" s="158" t="s">
        <v>97</v>
      </c>
      <c r="E41" s="157"/>
      <c r="F41" s="157">
        <v>99</v>
      </c>
      <c r="G41" s="157" t="s">
        <v>98</v>
      </c>
      <c r="H41" s="157"/>
      <c r="I41" s="154">
        <v>155.1</v>
      </c>
      <c r="J41" s="149">
        <f t="shared" si="3"/>
        <v>116424</v>
      </c>
      <c r="K41" s="148">
        <f t="shared" si="4"/>
        <v>1.7616642616642617E-3</v>
      </c>
      <c r="L41" s="152"/>
      <c r="M41" s="153">
        <f t="shared" si="5"/>
        <v>5.2849927849927848E-3</v>
      </c>
    </row>
    <row r="42" spans="1:13" x14ac:dyDescent="0.2">
      <c r="A42" s="159" t="s">
        <v>215</v>
      </c>
      <c r="B42" s="174">
        <v>0.03</v>
      </c>
      <c r="C42" s="157">
        <v>118</v>
      </c>
      <c r="D42" s="158" t="s">
        <v>97</v>
      </c>
      <c r="E42" s="157"/>
      <c r="F42" s="157">
        <v>99</v>
      </c>
      <c r="G42" s="157" t="s">
        <v>98</v>
      </c>
      <c r="H42" s="157"/>
      <c r="I42" s="154">
        <v>603.74</v>
      </c>
      <c r="J42" s="149">
        <f t="shared" si="3"/>
        <v>140184</v>
      </c>
      <c r="K42" s="148">
        <f t="shared" si="4"/>
        <v>4.6634423329338587E-3</v>
      </c>
      <c r="L42" s="152"/>
      <c r="M42" s="153">
        <f t="shared" si="5"/>
        <v>1.3990326998801577E-2</v>
      </c>
    </row>
    <row r="43" spans="1:13" x14ac:dyDescent="0.2">
      <c r="A43" s="173" t="s">
        <v>215</v>
      </c>
      <c r="B43" s="172">
        <v>0.03</v>
      </c>
      <c r="C43" s="170">
        <v>98</v>
      </c>
      <c r="D43" s="171" t="s">
        <v>97</v>
      </c>
      <c r="E43" s="170"/>
      <c r="F43" s="170">
        <v>99</v>
      </c>
      <c r="G43" s="170" t="s">
        <v>98</v>
      </c>
      <c r="H43" s="170"/>
      <c r="I43" s="169">
        <v>623.71</v>
      </c>
      <c r="J43" s="149">
        <f t="shared" si="3"/>
        <v>116424</v>
      </c>
      <c r="K43" s="148">
        <f t="shared" si="4"/>
        <v>5.7866934652648942E-3</v>
      </c>
      <c r="L43" s="152"/>
      <c r="M43" s="168">
        <f t="shared" si="5"/>
        <v>1.7360080395794682E-2</v>
      </c>
    </row>
    <row r="44" spans="1:13" x14ac:dyDescent="0.2">
      <c r="B44" s="167"/>
      <c r="D44" s="166"/>
      <c r="I44" s="165"/>
      <c r="L44" s="152"/>
    </row>
    <row r="45" spans="1:13" x14ac:dyDescent="0.2">
      <c r="B45" s="167"/>
      <c r="D45" s="166"/>
      <c r="I45" s="165"/>
      <c r="L45" s="152"/>
    </row>
    <row r="46" spans="1:13" x14ac:dyDescent="0.2">
      <c r="B46" s="167"/>
      <c r="D46" s="166"/>
      <c r="I46" s="165"/>
      <c r="L46" s="152"/>
    </row>
    <row r="47" spans="1:13" ht="25.55" x14ac:dyDescent="0.4">
      <c r="A47" s="164" t="s">
        <v>214</v>
      </c>
      <c r="B47" s="163"/>
      <c r="C47" s="155"/>
      <c r="D47" s="162"/>
      <c r="E47" s="155"/>
      <c r="F47" s="155"/>
      <c r="G47" s="155"/>
      <c r="H47" s="155"/>
      <c r="I47" s="161"/>
      <c r="L47" s="152"/>
      <c r="M47" s="160"/>
    </row>
    <row r="48" spans="1:13" x14ac:dyDescent="0.2">
      <c r="A48" s="159" t="s">
        <v>1411</v>
      </c>
      <c r="B48" s="159" t="s">
        <v>1412</v>
      </c>
      <c r="C48" s="157">
        <v>110</v>
      </c>
      <c r="D48" s="158" t="s">
        <v>97</v>
      </c>
      <c r="E48" s="157"/>
      <c r="F48" s="157">
        <v>108</v>
      </c>
      <c r="G48" s="157" t="s">
        <v>98</v>
      </c>
      <c r="H48" s="157" t="s">
        <v>1413</v>
      </c>
      <c r="I48" s="154">
        <v>1806</v>
      </c>
      <c r="J48" s="149">
        <f t="shared" ref="J48:J55" si="6">+C48*F48*12</f>
        <v>142560</v>
      </c>
      <c r="K48" s="148">
        <f t="shared" ref="K48:K55" si="7">+(I48+50)/J48</f>
        <v>1.3019079685746353E-2</v>
      </c>
      <c r="L48" s="152"/>
      <c r="M48" s="153">
        <f t="shared" ref="M48:M55" si="8">+K48*markup</f>
        <v>3.9057239057239061E-2</v>
      </c>
    </row>
    <row r="49" spans="1:13" x14ac:dyDescent="0.2">
      <c r="A49" s="159"/>
      <c r="B49" s="159"/>
      <c r="C49" s="157">
        <v>98</v>
      </c>
      <c r="D49" s="158" t="s">
        <v>97</v>
      </c>
      <c r="E49" s="157"/>
      <c r="F49" s="157"/>
      <c r="G49" s="157"/>
      <c r="H49" s="157"/>
      <c r="I49" s="154"/>
      <c r="J49" s="149">
        <f t="shared" si="6"/>
        <v>0</v>
      </c>
      <c r="K49" s="148" t="e">
        <f t="shared" si="7"/>
        <v>#DIV/0!</v>
      </c>
      <c r="L49" s="152"/>
      <c r="M49" s="153" t="e">
        <f t="shared" si="8"/>
        <v>#DIV/0!</v>
      </c>
    </row>
    <row r="50" spans="1:13" x14ac:dyDescent="0.2">
      <c r="A50" s="159"/>
      <c r="B50" s="159"/>
      <c r="C50" s="157">
        <v>98</v>
      </c>
      <c r="D50" s="158" t="s">
        <v>97</v>
      </c>
      <c r="E50" s="157"/>
      <c r="F50" s="157"/>
      <c r="G50" s="157"/>
      <c r="H50" s="157"/>
      <c r="I50" s="154"/>
      <c r="J50" s="149">
        <f t="shared" si="6"/>
        <v>0</v>
      </c>
      <c r="K50" s="148" t="e">
        <f t="shared" si="7"/>
        <v>#DIV/0!</v>
      </c>
      <c r="L50" s="152"/>
      <c r="M50" s="153" t="e">
        <f t="shared" si="8"/>
        <v>#DIV/0!</v>
      </c>
    </row>
    <row r="51" spans="1:13" x14ac:dyDescent="0.2">
      <c r="A51" s="159"/>
      <c r="B51" s="159"/>
      <c r="C51" s="157">
        <v>98</v>
      </c>
      <c r="D51" s="158" t="s">
        <v>97</v>
      </c>
      <c r="E51" s="157"/>
      <c r="F51" s="157"/>
      <c r="G51" s="157"/>
      <c r="H51" s="157"/>
      <c r="I51" s="154"/>
      <c r="J51" s="149">
        <f t="shared" si="6"/>
        <v>0</v>
      </c>
      <c r="K51" s="148" t="e">
        <f t="shared" si="7"/>
        <v>#DIV/0!</v>
      </c>
      <c r="L51" s="152"/>
      <c r="M51" s="153" t="e">
        <f t="shared" si="8"/>
        <v>#DIV/0!</v>
      </c>
    </row>
    <row r="52" spans="1:13" x14ac:dyDescent="0.2">
      <c r="A52" s="159"/>
      <c r="B52" s="159"/>
      <c r="C52" s="157">
        <v>98</v>
      </c>
      <c r="D52" s="158" t="s">
        <v>97</v>
      </c>
      <c r="E52" s="157"/>
      <c r="F52" s="157"/>
      <c r="G52" s="157"/>
      <c r="H52" s="157"/>
      <c r="I52" s="154"/>
      <c r="J52" s="149">
        <f t="shared" si="6"/>
        <v>0</v>
      </c>
      <c r="K52" s="148" t="e">
        <f t="shared" si="7"/>
        <v>#DIV/0!</v>
      </c>
      <c r="L52" s="152"/>
      <c r="M52" s="153" t="e">
        <f t="shared" si="8"/>
        <v>#DIV/0!</v>
      </c>
    </row>
    <row r="53" spans="1:13" x14ac:dyDescent="0.2">
      <c r="A53" s="159"/>
      <c r="B53" s="159"/>
      <c r="C53" s="157">
        <v>98</v>
      </c>
      <c r="D53" s="158" t="s">
        <v>97</v>
      </c>
      <c r="E53" s="157"/>
      <c r="F53" s="157"/>
      <c r="G53" s="157"/>
      <c r="H53" s="157"/>
      <c r="I53" s="154"/>
      <c r="J53" s="149">
        <f t="shared" si="6"/>
        <v>0</v>
      </c>
      <c r="K53" s="148" t="e">
        <f t="shared" si="7"/>
        <v>#DIV/0!</v>
      </c>
      <c r="L53" s="152"/>
      <c r="M53" s="153" t="e">
        <f t="shared" si="8"/>
        <v>#DIV/0!</v>
      </c>
    </row>
    <row r="54" spans="1:13" x14ac:dyDescent="0.2">
      <c r="A54" s="159"/>
      <c r="B54" s="159"/>
      <c r="C54" s="157">
        <v>98</v>
      </c>
      <c r="D54" s="158" t="s">
        <v>97</v>
      </c>
      <c r="E54" s="157"/>
      <c r="F54" s="157"/>
      <c r="G54" s="157"/>
      <c r="H54" s="157"/>
      <c r="I54" s="154"/>
      <c r="J54" s="149">
        <f t="shared" si="6"/>
        <v>0</v>
      </c>
      <c r="K54" s="148" t="e">
        <f t="shared" si="7"/>
        <v>#DIV/0!</v>
      </c>
      <c r="L54" s="152"/>
      <c r="M54" s="153" t="e">
        <f t="shared" si="8"/>
        <v>#DIV/0!</v>
      </c>
    </row>
    <row r="55" spans="1:13" x14ac:dyDescent="0.2">
      <c r="A55" s="156"/>
      <c r="B55" s="156"/>
      <c r="C55" s="155"/>
      <c r="D55" s="155"/>
      <c r="E55" s="155"/>
      <c r="F55" s="155"/>
      <c r="G55" s="155"/>
      <c r="H55" s="155"/>
      <c r="I55" s="154"/>
      <c r="J55" s="149">
        <f t="shared" si="6"/>
        <v>0</v>
      </c>
      <c r="K55" s="148" t="e">
        <f t="shared" si="7"/>
        <v>#DIV/0!</v>
      </c>
      <c r="L55" s="152"/>
      <c r="M55" s="153" t="e">
        <f t="shared" si="8"/>
        <v>#DIV/0!</v>
      </c>
    </row>
    <row r="56" spans="1:13" x14ac:dyDescent="0.2">
      <c r="L56" s="152"/>
    </row>
    <row r="58" spans="1:13" ht="13.1" thickBot="1" x14ac:dyDescent="0.25"/>
    <row r="59" spans="1:13" x14ac:dyDescent="0.2">
      <c r="A59" s="207"/>
      <c r="B59" s="208"/>
      <c r="C59" s="208"/>
      <c r="D59" s="208"/>
      <c r="E59" s="208"/>
      <c r="F59" s="208"/>
      <c r="G59" s="208"/>
      <c r="H59" s="208"/>
      <c r="I59" s="209"/>
      <c r="J59" s="210"/>
      <c r="K59" s="211"/>
      <c r="L59" s="211"/>
      <c r="M59" s="212"/>
    </row>
    <row r="60" spans="1:13" ht="18.350000000000001" thickBot="1" x14ac:dyDescent="0.35">
      <c r="A60" s="205" t="s">
        <v>228</v>
      </c>
      <c r="B60" s="206"/>
      <c r="C60" s="217" t="s">
        <v>229</v>
      </c>
      <c r="D60" s="206"/>
      <c r="E60" s="206"/>
      <c r="F60" s="206"/>
      <c r="G60" s="206"/>
      <c r="H60" s="206"/>
      <c r="I60" s="213"/>
      <c r="J60" s="214"/>
      <c r="K60" s="215"/>
      <c r="L60" s="215"/>
      <c r="M60" s="216"/>
    </row>
    <row r="61" spans="1:13" x14ac:dyDescent="0.2">
      <c r="A61" s="204"/>
      <c r="B61" s="204"/>
    </row>
    <row r="62" spans="1:13" customFormat="1" ht="25.55" x14ac:dyDescent="0.4">
      <c r="A62" s="188" t="s">
        <v>95</v>
      </c>
      <c r="B62" s="188"/>
      <c r="C62" s="12"/>
      <c r="D62" s="12"/>
      <c r="E62" s="12"/>
      <c r="F62" s="12"/>
      <c r="G62" s="12"/>
      <c r="H62" s="12"/>
      <c r="I62" s="13"/>
      <c r="J62" s="14"/>
      <c r="K62" s="15"/>
      <c r="L62" s="15"/>
      <c r="M62" s="16"/>
    </row>
    <row r="63" spans="1:13" customFormat="1" x14ac:dyDescent="0.2">
      <c r="A63" s="189" t="s">
        <v>96</v>
      </c>
      <c r="B63" s="190"/>
      <c r="C63">
        <v>36</v>
      </c>
      <c r="D63" t="s">
        <v>97</v>
      </c>
      <c r="F63">
        <v>90</v>
      </c>
      <c r="G63" t="s">
        <v>98</v>
      </c>
      <c r="I63" s="8">
        <v>173</v>
      </c>
      <c r="J63" s="9">
        <f>+C63*F63*12</f>
        <v>38880</v>
      </c>
      <c r="K63" s="10">
        <f>+(I63+50)/J63</f>
        <v>5.7355967078189301E-3</v>
      </c>
      <c r="L63" s="10"/>
      <c r="M63" s="17">
        <f t="shared" ref="M63:M92" si="9">+K63*markup</f>
        <v>1.720679012345679E-2</v>
      </c>
    </row>
    <row r="64" spans="1:13" customFormat="1" x14ac:dyDescent="0.2">
      <c r="A64" s="190"/>
      <c r="B64" s="190"/>
      <c r="C64">
        <v>48</v>
      </c>
      <c r="D64" t="s">
        <v>97</v>
      </c>
      <c r="F64">
        <v>90</v>
      </c>
      <c r="G64" t="s">
        <v>98</v>
      </c>
      <c r="I64" s="8">
        <v>230</v>
      </c>
      <c r="J64" s="9">
        <f t="shared" ref="J64:J126" si="10">+C64*F64*12</f>
        <v>51840</v>
      </c>
      <c r="K64" s="10">
        <f t="shared" ref="K64:K126" si="11">+(I64+50)/J64</f>
        <v>5.4012345679012343E-3</v>
      </c>
      <c r="L64" s="10"/>
      <c r="M64" s="17">
        <f t="shared" si="9"/>
        <v>1.6203703703703703E-2</v>
      </c>
    </row>
    <row r="65" spans="1:13" customFormat="1" x14ac:dyDescent="0.2">
      <c r="A65" s="190"/>
      <c r="B65" s="190"/>
      <c r="C65">
        <v>60</v>
      </c>
      <c r="D65" t="s">
        <v>97</v>
      </c>
      <c r="F65">
        <v>90</v>
      </c>
      <c r="G65" t="s">
        <v>98</v>
      </c>
      <c r="I65" s="8">
        <v>287</v>
      </c>
      <c r="J65" s="9">
        <f t="shared" si="10"/>
        <v>64800</v>
      </c>
      <c r="K65" s="10">
        <f t="shared" si="11"/>
        <v>5.2006172839506176E-3</v>
      </c>
      <c r="L65" s="10"/>
      <c r="M65" s="17">
        <f t="shared" si="9"/>
        <v>1.5601851851851853E-2</v>
      </c>
    </row>
    <row r="66" spans="1:13" customFormat="1" x14ac:dyDescent="0.2">
      <c r="A66" s="190"/>
      <c r="B66" s="190"/>
      <c r="C66">
        <v>72</v>
      </c>
      <c r="D66" t="s">
        <v>97</v>
      </c>
      <c r="F66">
        <v>90</v>
      </c>
      <c r="G66" t="s">
        <v>98</v>
      </c>
      <c r="I66" s="8">
        <v>344</v>
      </c>
      <c r="J66" s="9">
        <f t="shared" si="10"/>
        <v>77760</v>
      </c>
      <c r="K66" s="10">
        <f t="shared" si="11"/>
        <v>5.0668724279835393E-3</v>
      </c>
      <c r="L66" s="10"/>
      <c r="M66" s="17">
        <f t="shared" si="9"/>
        <v>1.5200617283950618E-2</v>
      </c>
    </row>
    <row r="67" spans="1:13" customFormat="1" x14ac:dyDescent="0.2">
      <c r="A67" s="191"/>
      <c r="B67" s="191"/>
      <c r="C67" s="1">
        <v>84</v>
      </c>
      <c r="D67" s="1" t="s">
        <v>97</v>
      </c>
      <c r="E67" s="1"/>
      <c r="F67" s="1">
        <v>90</v>
      </c>
      <c r="G67" s="1" t="s">
        <v>98</v>
      </c>
      <c r="H67" s="1"/>
      <c r="I67" s="18">
        <v>402</v>
      </c>
      <c r="J67" s="9">
        <f t="shared" si="10"/>
        <v>90720</v>
      </c>
      <c r="K67" s="10">
        <f t="shared" si="11"/>
        <v>4.9823633156966494E-3</v>
      </c>
      <c r="L67" s="10"/>
      <c r="M67" s="17">
        <f t="shared" si="9"/>
        <v>1.4947089947089948E-2</v>
      </c>
    </row>
    <row r="68" spans="1:13" customFormat="1" x14ac:dyDescent="0.2">
      <c r="A68" s="189" t="s">
        <v>99</v>
      </c>
      <c r="B68" s="190"/>
      <c r="C68">
        <v>72</v>
      </c>
      <c r="D68" t="s">
        <v>97</v>
      </c>
      <c r="F68">
        <v>90</v>
      </c>
      <c r="G68" t="s">
        <v>98</v>
      </c>
      <c r="I68" s="8">
        <v>589</v>
      </c>
      <c r="J68" s="9">
        <f t="shared" si="10"/>
        <v>77760</v>
      </c>
      <c r="K68" s="10">
        <f t="shared" si="11"/>
        <v>8.2175925925925923E-3</v>
      </c>
      <c r="L68" s="10"/>
      <c r="M68" s="17">
        <f t="shared" si="9"/>
        <v>2.4652777777777777E-2</v>
      </c>
    </row>
    <row r="69" spans="1:13" customFormat="1" x14ac:dyDescent="0.2">
      <c r="A69" s="191"/>
      <c r="B69" s="191"/>
      <c r="C69" s="1">
        <v>96</v>
      </c>
      <c r="D69" s="1" t="s">
        <v>97</v>
      </c>
      <c r="E69" s="1"/>
      <c r="F69" s="1">
        <v>90</v>
      </c>
      <c r="G69" s="1" t="s">
        <v>98</v>
      </c>
      <c r="H69" s="1"/>
      <c r="I69" s="18">
        <v>784</v>
      </c>
      <c r="J69" s="9">
        <f t="shared" si="10"/>
        <v>103680</v>
      </c>
      <c r="K69" s="10">
        <f t="shared" si="11"/>
        <v>8.0439814814814818E-3</v>
      </c>
      <c r="L69" s="10"/>
      <c r="M69" s="17">
        <f t="shared" si="9"/>
        <v>2.4131944444444445E-2</v>
      </c>
    </row>
    <row r="70" spans="1:13" customFormat="1" x14ac:dyDescent="0.2">
      <c r="A70" s="189" t="s">
        <v>100</v>
      </c>
      <c r="B70" s="190"/>
      <c r="C70">
        <v>72</v>
      </c>
      <c r="D70" t="s">
        <v>97</v>
      </c>
      <c r="F70">
        <v>90</v>
      </c>
      <c r="G70" t="s">
        <v>98</v>
      </c>
      <c r="I70" s="8">
        <v>540</v>
      </c>
      <c r="J70" s="9">
        <f t="shared" si="10"/>
        <v>77760</v>
      </c>
      <c r="K70" s="10">
        <f t="shared" si="11"/>
        <v>7.5874485596707821E-3</v>
      </c>
      <c r="L70" s="10"/>
      <c r="M70" s="17">
        <f t="shared" si="9"/>
        <v>2.2762345679012346E-2</v>
      </c>
    </row>
    <row r="71" spans="1:13" customFormat="1" x14ac:dyDescent="0.2">
      <c r="A71" s="191"/>
      <c r="B71" s="191"/>
      <c r="C71" s="1">
        <v>96</v>
      </c>
      <c r="D71" s="1" t="s">
        <v>97</v>
      </c>
      <c r="E71" s="1"/>
      <c r="F71" s="1">
        <v>90</v>
      </c>
      <c r="G71" s="1" t="s">
        <v>98</v>
      </c>
      <c r="H71" s="1"/>
      <c r="I71" s="18">
        <v>720</v>
      </c>
      <c r="J71" s="9">
        <f t="shared" si="10"/>
        <v>103680</v>
      </c>
      <c r="K71" s="10">
        <f t="shared" si="11"/>
        <v>7.4266975308641976E-3</v>
      </c>
      <c r="L71" s="10"/>
      <c r="M71" s="17">
        <f t="shared" si="9"/>
        <v>2.2280092592592594E-2</v>
      </c>
    </row>
    <row r="72" spans="1:13" customFormat="1" x14ac:dyDescent="0.2">
      <c r="A72" s="189" t="s">
        <v>101</v>
      </c>
      <c r="B72" s="190"/>
      <c r="C72">
        <v>63</v>
      </c>
      <c r="D72" t="s">
        <v>97</v>
      </c>
      <c r="F72">
        <v>90</v>
      </c>
      <c r="G72" t="s">
        <v>98</v>
      </c>
      <c r="I72" s="8">
        <v>551</v>
      </c>
      <c r="J72" s="9">
        <f t="shared" si="10"/>
        <v>68040</v>
      </c>
      <c r="K72" s="10">
        <f t="shared" si="11"/>
        <v>8.8330393885949435E-3</v>
      </c>
      <c r="L72" s="10"/>
      <c r="M72" s="17">
        <f t="shared" si="9"/>
        <v>2.6499118165784832E-2</v>
      </c>
    </row>
    <row r="73" spans="1:13" customFormat="1" x14ac:dyDescent="0.2">
      <c r="A73" s="191"/>
      <c r="B73" s="191"/>
      <c r="C73" s="1">
        <v>98</v>
      </c>
      <c r="D73" s="1" t="s">
        <v>97</v>
      </c>
      <c r="E73" s="1"/>
      <c r="F73" s="1">
        <v>90</v>
      </c>
      <c r="G73" s="1" t="s">
        <v>98</v>
      </c>
      <c r="H73" s="1"/>
      <c r="I73" s="18">
        <v>857</v>
      </c>
      <c r="J73" s="9">
        <f t="shared" si="10"/>
        <v>105840</v>
      </c>
      <c r="K73" s="10">
        <f t="shared" si="11"/>
        <v>8.5695389266817832E-3</v>
      </c>
      <c r="L73" s="10"/>
      <c r="M73" s="17">
        <f t="shared" si="9"/>
        <v>2.5708616780045351E-2</v>
      </c>
    </row>
    <row r="74" spans="1:13" customFormat="1" x14ac:dyDescent="0.2">
      <c r="A74" s="189" t="s">
        <v>102</v>
      </c>
      <c r="B74" s="190"/>
      <c r="C74">
        <v>72</v>
      </c>
      <c r="D74" t="s">
        <v>97</v>
      </c>
      <c r="F74">
        <v>90</v>
      </c>
      <c r="G74" t="s">
        <v>98</v>
      </c>
      <c r="I74" s="8">
        <v>470</v>
      </c>
      <c r="J74" s="9">
        <f t="shared" si="10"/>
        <v>77760</v>
      </c>
      <c r="K74" s="10">
        <f t="shared" si="11"/>
        <v>6.6872427983539094E-3</v>
      </c>
      <c r="L74" s="10"/>
      <c r="M74" s="17">
        <f t="shared" si="9"/>
        <v>2.0061728395061727E-2</v>
      </c>
    </row>
    <row r="75" spans="1:13" customFormat="1" x14ac:dyDescent="0.2">
      <c r="A75" s="191"/>
      <c r="B75" s="191"/>
      <c r="C75" s="1">
        <v>96</v>
      </c>
      <c r="D75" s="1" t="s">
        <v>97</v>
      </c>
      <c r="E75" s="1"/>
      <c r="F75" s="1">
        <v>90</v>
      </c>
      <c r="G75" s="1" t="s">
        <v>98</v>
      </c>
      <c r="H75" s="1"/>
      <c r="I75" s="18">
        <v>626</v>
      </c>
      <c r="J75" s="9">
        <f t="shared" si="10"/>
        <v>103680</v>
      </c>
      <c r="K75" s="10">
        <f t="shared" si="11"/>
        <v>6.5200617283950619E-3</v>
      </c>
      <c r="L75" s="10"/>
      <c r="M75" s="17">
        <f t="shared" si="9"/>
        <v>1.9560185185185187E-2</v>
      </c>
    </row>
    <row r="76" spans="1:13" customFormat="1" x14ac:dyDescent="0.2">
      <c r="A76" s="189" t="s">
        <v>103</v>
      </c>
      <c r="B76" s="190"/>
      <c r="C76">
        <v>63</v>
      </c>
      <c r="D76" t="s">
        <v>97</v>
      </c>
      <c r="F76">
        <v>90</v>
      </c>
      <c r="G76" t="s">
        <v>98</v>
      </c>
      <c r="I76" s="8">
        <v>636</v>
      </c>
      <c r="J76" s="9">
        <f t="shared" si="10"/>
        <v>68040</v>
      </c>
      <c r="K76" s="10">
        <f t="shared" si="11"/>
        <v>1.0082304526748971E-2</v>
      </c>
      <c r="L76" s="10"/>
      <c r="M76" s="17">
        <f t="shared" si="9"/>
        <v>3.0246913580246913E-2</v>
      </c>
    </row>
    <row r="77" spans="1:13" customFormat="1" x14ac:dyDescent="0.2">
      <c r="A77" s="190"/>
      <c r="B77" s="190"/>
      <c r="C77">
        <v>84</v>
      </c>
      <c r="D77" t="s">
        <v>97</v>
      </c>
      <c r="F77">
        <v>90</v>
      </c>
      <c r="G77" t="s">
        <v>98</v>
      </c>
      <c r="I77" s="8">
        <v>714</v>
      </c>
      <c r="J77" s="9">
        <f t="shared" si="10"/>
        <v>90720</v>
      </c>
      <c r="K77" s="10">
        <f t="shared" si="11"/>
        <v>8.4215167548500874E-3</v>
      </c>
      <c r="L77" s="10"/>
      <c r="M77" s="17">
        <f t="shared" si="9"/>
        <v>2.526455026455026E-2</v>
      </c>
    </row>
    <row r="78" spans="1:13" customFormat="1" x14ac:dyDescent="0.2">
      <c r="A78" s="191"/>
      <c r="B78" s="191"/>
      <c r="C78" s="1">
        <v>98</v>
      </c>
      <c r="D78" s="1" t="s">
        <v>97</v>
      </c>
      <c r="E78" s="1"/>
      <c r="F78" s="1">
        <v>90</v>
      </c>
      <c r="G78" s="1" t="s">
        <v>98</v>
      </c>
      <c r="H78" s="1"/>
      <c r="I78" s="18">
        <v>833</v>
      </c>
      <c r="J78" s="9">
        <f t="shared" si="10"/>
        <v>105840</v>
      </c>
      <c r="K78" s="10">
        <f t="shared" si="11"/>
        <v>8.3427815570672713E-3</v>
      </c>
      <c r="L78" s="10"/>
      <c r="M78" s="17">
        <f t="shared" si="9"/>
        <v>2.5028344671201814E-2</v>
      </c>
    </row>
    <row r="79" spans="1:13" customFormat="1" x14ac:dyDescent="0.2">
      <c r="A79" s="189" t="s">
        <v>104</v>
      </c>
      <c r="B79" s="190"/>
      <c r="C79">
        <v>63</v>
      </c>
      <c r="D79" t="s">
        <v>97</v>
      </c>
      <c r="F79">
        <v>90</v>
      </c>
      <c r="G79" t="s">
        <v>98</v>
      </c>
      <c r="I79" s="8">
        <v>494</v>
      </c>
      <c r="J79" s="9">
        <f t="shared" si="10"/>
        <v>68040</v>
      </c>
      <c r="K79" s="10">
        <f t="shared" si="11"/>
        <v>7.9952968841857739E-3</v>
      </c>
      <c r="L79" s="10"/>
      <c r="M79" s="17">
        <f t="shared" si="9"/>
        <v>2.3985890652557323E-2</v>
      </c>
    </row>
    <row r="80" spans="1:13" customFormat="1" x14ac:dyDescent="0.2">
      <c r="A80" s="190"/>
      <c r="B80" s="190"/>
      <c r="C80">
        <v>84</v>
      </c>
      <c r="D80" t="s">
        <v>97</v>
      </c>
      <c r="F80">
        <v>90</v>
      </c>
      <c r="G80" t="s">
        <v>98</v>
      </c>
      <c r="I80" s="8">
        <v>659</v>
      </c>
      <c r="J80" s="9">
        <f t="shared" si="10"/>
        <v>90720</v>
      </c>
      <c r="K80" s="10">
        <f t="shared" si="11"/>
        <v>7.8152557319223978E-3</v>
      </c>
      <c r="L80" s="10"/>
      <c r="M80" s="17">
        <f t="shared" si="9"/>
        <v>2.3445767195767193E-2</v>
      </c>
    </row>
    <row r="81" spans="1:13" customFormat="1" x14ac:dyDescent="0.2">
      <c r="A81" s="191"/>
      <c r="B81" s="191"/>
      <c r="C81" s="1">
        <v>98</v>
      </c>
      <c r="D81" s="1" t="s">
        <v>97</v>
      </c>
      <c r="E81" s="1"/>
      <c r="F81" s="1">
        <v>90</v>
      </c>
      <c r="G81" s="1" t="s">
        <v>98</v>
      </c>
      <c r="H81" s="1"/>
      <c r="I81" s="18">
        <v>768</v>
      </c>
      <c r="J81" s="9">
        <f t="shared" si="10"/>
        <v>105840</v>
      </c>
      <c r="K81" s="10">
        <f t="shared" si="11"/>
        <v>7.7286470143613003E-3</v>
      </c>
      <c r="L81" s="10"/>
      <c r="M81" s="17">
        <f t="shared" si="9"/>
        <v>2.3185941043083899E-2</v>
      </c>
    </row>
    <row r="82" spans="1:13" customFormat="1" x14ac:dyDescent="0.2">
      <c r="A82" s="189" t="s">
        <v>105</v>
      </c>
      <c r="B82" s="190"/>
      <c r="C82">
        <v>63</v>
      </c>
      <c r="D82" t="s">
        <v>97</v>
      </c>
      <c r="F82">
        <v>90</v>
      </c>
      <c r="G82" t="s">
        <v>98</v>
      </c>
      <c r="I82" s="8">
        <v>597</v>
      </c>
      <c r="J82" s="9">
        <f t="shared" si="10"/>
        <v>68040</v>
      </c>
      <c r="K82" s="10">
        <f t="shared" si="11"/>
        <v>9.5091122868900639E-3</v>
      </c>
      <c r="L82" s="10"/>
      <c r="M82" s="17">
        <f t="shared" si="9"/>
        <v>2.8527336860670192E-2</v>
      </c>
    </row>
    <row r="83" spans="1:13" customFormat="1" x14ac:dyDescent="0.2">
      <c r="A83" s="190"/>
      <c r="B83" s="190"/>
      <c r="C83">
        <v>84</v>
      </c>
      <c r="D83" t="s">
        <v>97</v>
      </c>
      <c r="F83">
        <v>90</v>
      </c>
      <c r="G83" t="s">
        <v>98</v>
      </c>
      <c r="I83" s="8">
        <v>798</v>
      </c>
      <c r="J83" s="9">
        <f t="shared" si="10"/>
        <v>90720</v>
      </c>
      <c r="K83" s="10">
        <f t="shared" si="11"/>
        <v>9.3474426807760146E-3</v>
      </c>
      <c r="L83" s="10"/>
      <c r="M83" s="17">
        <f t="shared" si="9"/>
        <v>2.8042328042328042E-2</v>
      </c>
    </row>
    <row r="84" spans="1:13" customFormat="1" x14ac:dyDescent="0.2">
      <c r="A84" s="191"/>
      <c r="B84" s="191"/>
      <c r="C84" s="1">
        <v>98</v>
      </c>
      <c r="D84" s="1" t="s">
        <v>97</v>
      </c>
      <c r="E84" s="1"/>
      <c r="F84" s="1">
        <v>90</v>
      </c>
      <c r="G84" s="1" t="s">
        <v>98</v>
      </c>
      <c r="H84" s="1"/>
      <c r="I84" s="18">
        <v>930</v>
      </c>
      <c r="J84" s="9">
        <f t="shared" si="10"/>
        <v>105840</v>
      </c>
      <c r="K84" s="10">
        <f t="shared" si="11"/>
        <v>9.2592592592592587E-3</v>
      </c>
      <c r="L84" s="10"/>
      <c r="M84" s="17">
        <f t="shared" si="9"/>
        <v>2.7777777777777776E-2</v>
      </c>
    </row>
    <row r="85" spans="1:13" customFormat="1" x14ac:dyDescent="0.2">
      <c r="A85" s="191" t="s">
        <v>106</v>
      </c>
      <c r="B85" s="191"/>
      <c r="C85" s="1">
        <v>98</v>
      </c>
      <c r="D85" s="1" t="s">
        <v>97</v>
      </c>
      <c r="E85" s="1"/>
      <c r="F85" s="1">
        <v>90</v>
      </c>
      <c r="G85" s="1" t="s">
        <v>98</v>
      </c>
      <c r="H85" s="1"/>
      <c r="I85" s="18">
        <v>933</v>
      </c>
      <c r="J85" s="9">
        <f t="shared" si="10"/>
        <v>105840</v>
      </c>
      <c r="K85" s="10">
        <f t="shared" si="11"/>
        <v>9.287603930461073E-3</v>
      </c>
      <c r="L85" s="10"/>
      <c r="M85" s="17">
        <f t="shared" si="9"/>
        <v>2.7862811791383217E-2</v>
      </c>
    </row>
    <row r="86" spans="1:13" customFormat="1" x14ac:dyDescent="0.2">
      <c r="A86" s="189" t="s">
        <v>107</v>
      </c>
      <c r="B86" s="189"/>
      <c r="C86" s="2">
        <v>96</v>
      </c>
      <c r="D86" s="2" t="s">
        <v>97</v>
      </c>
      <c r="E86" s="2"/>
      <c r="F86" s="2">
        <v>90</v>
      </c>
      <c r="G86" s="2" t="s">
        <v>98</v>
      </c>
      <c r="H86" s="2"/>
      <c r="I86" s="19">
        <v>963</v>
      </c>
      <c r="J86" s="9">
        <f t="shared" si="10"/>
        <v>103680</v>
      </c>
      <c r="K86" s="10">
        <f t="shared" si="11"/>
        <v>9.7704475308641979E-3</v>
      </c>
      <c r="L86" s="10"/>
      <c r="M86" s="17">
        <f t="shared" si="9"/>
        <v>2.9311342592592594E-2</v>
      </c>
    </row>
    <row r="87" spans="1:13" customFormat="1" x14ac:dyDescent="0.2">
      <c r="A87" s="189" t="s">
        <v>108</v>
      </c>
      <c r="B87" s="189"/>
      <c r="C87" s="2">
        <v>74</v>
      </c>
      <c r="D87" s="2" t="s">
        <v>97</v>
      </c>
      <c r="E87" s="2"/>
      <c r="F87" s="2">
        <v>90</v>
      </c>
      <c r="G87" s="2" t="s">
        <v>98</v>
      </c>
      <c r="H87" s="2"/>
      <c r="I87" s="19">
        <v>690</v>
      </c>
      <c r="J87" s="9">
        <f t="shared" si="10"/>
        <v>79920</v>
      </c>
      <c r="K87" s="10">
        <f t="shared" si="11"/>
        <v>9.2592592592592587E-3</v>
      </c>
      <c r="L87" s="10"/>
      <c r="M87" s="17">
        <f t="shared" si="9"/>
        <v>2.7777777777777776E-2</v>
      </c>
    </row>
    <row r="88" spans="1:13" customFormat="1" x14ac:dyDescent="0.2">
      <c r="A88" s="191" t="s">
        <v>109</v>
      </c>
      <c r="B88" s="191"/>
      <c r="C88" s="1">
        <v>94</v>
      </c>
      <c r="D88" s="1" t="s">
        <v>97</v>
      </c>
      <c r="E88" s="1"/>
      <c r="F88" s="1">
        <v>90</v>
      </c>
      <c r="G88" s="1" t="s">
        <v>98</v>
      </c>
      <c r="H88" s="1"/>
      <c r="I88" s="18">
        <v>1357</v>
      </c>
      <c r="J88" s="9">
        <f t="shared" si="10"/>
        <v>101520</v>
      </c>
      <c r="K88" s="10">
        <f t="shared" si="11"/>
        <v>1.385933806146572E-2</v>
      </c>
      <c r="L88" s="10"/>
      <c r="M88" s="17">
        <f t="shared" si="9"/>
        <v>4.1578014184397161E-2</v>
      </c>
    </row>
    <row r="89" spans="1:13" customFormat="1" x14ac:dyDescent="0.2">
      <c r="A89" s="189" t="s">
        <v>110</v>
      </c>
      <c r="B89" s="189"/>
      <c r="C89" s="2">
        <v>72</v>
      </c>
      <c r="D89" s="2" t="s">
        <v>97</v>
      </c>
      <c r="E89" s="2"/>
      <c r="F89" s="2">
        <v>90</v>
      </c>
      <c r="G89" s="2" t="s">
        <v>98</v>
      </c>
      <c r="H89" s="2"/>
      <c r="I89" s="19">
        <v>718</v>
      </c>
      <c r="J89" s="9">
        <f t="shared" si="10"/>
        <v>77760</v>
      </c>
      <c r="K89" s="10">
        <f t="shared" si="11"/>
        <v>9.876543209876543E-3</v>
      </c>
      <c r="L89" s="10"/>
      <c r="M89" s="17">
        <f t="shared" si="9"/>
        <v>2.9629629629629631E-2</v>
      </c>
    </row>
    <row r="90" spans="1:13" customFormat="1" x14ac:dyDescent="0.2">
      <c r="A90" s="190" t="s">
        <v>111</v>
      </c>
      <c r="B90" s="190"/>
      <c r="C90">
        <v>78</v>
      </c>
      <c r="D90" t="s">
        <v>97</v>
      </c>
      <c r="F90">
        <v>90</v>
      </c>
      <c r="G90" t="s">
        <v>98</v>
      </c>
      <c r="I90" s="20">
        <v>426</v>
      </c>
      <c r="J90" s="9">
        <f t="shared" si="10"/>
        <v>84240</v>
      </c>
      <c r="K90" s="10">
        <f t="shared" si="11"/>
        <v>5.6505223171889841E-3</v>
      </c>
      <c r="L90" s="10"/>
      <c r="M90" s="17">
        <f t="shared" si="9"/>
        <v>1.6951566951566951E-2</v>
      </c>
    </row>
    <row r="91" spans="1:13" customFormat="1" x14ac:dyDescent="0.2">
      <c r="A91" s="190"/>
      <c r="B91" s="190"/>
      <c r="C91">
        <v>98</v>
      </c>
      <c r="D91" t="s">
        <v>97</v>
      </c>
      <c r="F91">
        <v>90</v>
      </c>
      <c r="G91" t="s">
        <v>98</v>
      </c>
      <c r="I91" s="20">
        <v>535.20000000000005</v>
      </c>
      <c r="J91" s="9">
        <f t="shared" si="10"/>
        <v>105840</v>
      </c>
      <c r="K91" s="10">
        <f t="shared" si="11"/>
        <v>5.5291005291005293E-3</v>
      </c>
      <c r="L91" s="10"/>
      <c r="M91" s="17">
        <f t="shared" si="9"/>
        <v>1.6587301587301588E-2</v>
      </c>
    </row>
    <row r="92" spans="1:13" customFormat="1" x14ac:dyDescent="0.2">
      <c r="A92" s="190"/>
      <c r="B92" s="190"/>
      <c r="C92">
        <v>118</v>
      </c>
      <c r="F92">
        <v>90</v>
      </c>
      <c r="G92" t="s">
        <v>98</v>
      </c>
      <c r="I92" s="20">
        <v>645</v>
      </c>
      <c r="J92" s="9">
        <f t="shared" si="10"/>
        <v>127440</v>
      </c>
      <c r="K92" s="10">
        <f t="shared" si="11"/>
        <v>5.4535467671060888E-3</v>
      </c>
      <c r="L92" s="10"/>
      <c r="M92" s="17">
        <f t="shared" si="9"/>
        <v>1.6360640301318265E-2</v>
      </c>
    </row>
    <row r="93" spans="1:13" customFormat="1" x14ac:dyDescent="0.2">
      <c r="A93" s="190"/>
      <c r="B93" s="190"/>
      <c r="I93" s="8"/>
      <c r="J93" s="9"/>
      <c r="K93" s="10"/>
      <c r="L93" s="10"/>
      <c r="M93" s="21"/>
    </row>
    <row r="94" spans="1:13" customFormat="1" ht="25.55" x14ac:dyDescent="0.4">
      <c r="A94" s="192" t="s">
        <v>112</v>
      </c>
      <c r="B94" s="192"/>
      <c r="C94" s="1"/>
      <c r="D94" s="1"/>
      <c r="E94" s="1"/>
      <c r="F94" s="1"/>
      <c r="G94" s="1"/>
      <c r="H94" s="1"/>
      <c r="I94" s="18"/>
      <c r="J94" s="9"/>
      <c r="K94" s="10"/>
      <c r="L94" s="10"/>
      <c r="M94" s="22"/>
    </row>
    <row r="95" spans="1:13" customFormat="1" ht="12.8" customHeight="1" x14ac:dyDescent="0.2">
      <c r="A95" s="189" t="s">
        <v>113</v>
      </c>
      <c r="B95" s="193">
        <v>0.01</v>
      </c>
      <c r="C95">
        <v>98</v>
      </c>
      <c r="D95" t="s">
        <v>97</v>
      </c>
      <c r="F95">
        <v>90</v>
      </c>
      <c r="G95" t="s">
        <v>98</v>
      </c>
      <c r="I95" s="8">
        <f>24.52*30</f>
        <v>735.6</v>
      </c>
      <c r="J95" s="9">
        <f>+C95*F95*12</f>
        <v>105840</v>
      </c>
      <c r="K95" s="10">
        <f>+(I95+50)/J95</f>
        <v>7.4225245653817083E-3</v>
      </c>
      <c r="L95" s="10"/>
      <c r="M95" s="22">
        <f>+K95*markup</f>
        <v>2.2267573696145126E-2</v>
      </c>
    </row>
    <row r="96" spans="1:13" customFormat="1" ht="12.8" customHeight="1" x14ac:dyDescent="0.2">
      <c r="A96" s="189" t="s">
        <v>114</v>
      </c>
      <c r="B96" s="193">
        <v>0.03</v>
      </c>
      <c r="C96">
        <v>98</v>
      </c>
      <c r="D96" t="s">
        <v>97</v>
      </c>
      <c r="F96">
        <v>90</v>
      </c>
      <c r="G96" t="s">
        <v>98</v>
      </c>
      <c r="I96" s="8">
        <f>22.29*30</f>
        <v>668.69999999999993</v>
      </c>
      <c r="J96" s="9">
        <f>+C96*F96*12</f>
        <v>105840</v>
      </c>
      <c r="K96" s="10">
        <f>+(I96+50)/J96</f>
        <v>6.7904383975812537E-3</v>
      </c>
      <c r="L96" s="10"/>
      <c r="M96" s="22">
        <f>+K96*markup</f>
        <v>2.0371315192743759E-2</v>
      </c>
    </row>
    <row r="97" spans="1:13" customFormat="1" x14ac:dyDescent="0.2">
      <c r="A97" s="189" t="s">
        <v>115</v>
      </c>
      <c r="B97" s="194">
        <v>0.05</v>
      </c>
      <c r="C97">
        <v>78</v>
      </c>
      <c r="D97" t="s">
        <v>97</v>
      </c>
      <c r="F97">
        <v>81</v>
      </c>
      <c r="G97" t="s">
        <v>98</v>
      </c>
      <c r="I97" s="8">
        <f>15.73*27</f>
        <v>424.71000000000004</v>
      </c>
      <c r="J97" s="9">
        <f t="shared" si="10"/>
        <v>75816</v>
      </c>
      <c r="K97" s="10">
        <f t="shared" si="11"/>
        <v>6.2613432520839934E-3</v>
      </c>
      <c r="L97" s="10"/>
      <c r="M97" s="22">
        <f t="shared" ref="M97:M123" si="12">+K97*markup</f>
        <v>1.8784029756251978E-2</v>
      </c>
    </row>
    <row r="98" spans="1:13" customFormat="1" x14ac:dyDescent="0.2">
      <c r="A98" s="190"/>
      <c r="B98" s="190"/>
      <c r="C98">
        <v>98</v>
      </c>
      <c r="D98" t="s">
        <v>97</v>
      </c>
      <c r="F98">
        <v>81</v>
      </c>
      <c r="G98" t="s">
        <v>98</v>
      </c>
      <c r="I98" s="8">
        <f>19.87*27</f>
        <v>536.49</v>
      </c>
      <c r="J98" s="9">
        <f t="shared" si="10"/>
        <v>95256</v>
      </c>
      <c r="K98" s="10">
        <f t="shared" si="11"/>
        <v>6.1569874863525659E-3</v>
      </c>
      <c r="L98" s="10"/>
      <c r="M98" s="17">
        <f t="shared" si="12"/>
        <v>1.8470962459057699E-2</v>
      </c>
    </row>
    <row r="99" spans="1:13" customFormat="1" x14ac:dyDescent="0.2">
      <c r="A99" s="191"/>
      <c r="B99" s="191"/>
      <c r="C99" s="1">
        <v>122</v>
      </c>
      <c r="D99" s="1" t="s">
        <v>97</v>
      </c>
      <c r="E99" s="1"/>
      <c r="F99" s="1">
        <v>81</v>
      </c>
      <c r="G99" s="1" t="s">
        <v>98</v>
      </c>
      <c r="H99" s="1"/>
      <c r="I99" s="18">
        <f>24.83*27</f>
        <v>670.41</v>
      </c>
      <c r="J99" s="9">
        <f t="shared" si="10"/>
        <v>118584</v>
      </c>
      <c r="K99" s="10">
        <f t="shared" si="11"/>
        <v>6.0751028806584357E-3</v>
      </c>
      <c r="L99" s="10"/>
      <c r="M99" s="17">
        <f t="shared" si="12"/>
        <v>1.8225308641975309E-2</v>
      </c>
    </row>
    <row r="100" spans="1:13" customFormat="1" x14ac:dyDescent="0.2">
      <c r="A100" s="189" t="s">
        <v>116</v>
      </c>
      <c r="B100" s="194">
        <v>0.1</v>
      </c>
      <c r="C100">
        <v>78</v>
      </c>
      <c r="D100" t="s">
        <v>97</v>
      </c>
      <c r="F100">
        <v>90</v>
      </c>
      <c r="G100" t="s">
        <v>98</v>
      </c>
      <c r="I100" s="8">
        <f>15.28*30</f>
        <v>458.4</v>
      </c>
      <c r="J100" s="9">
        <f t="shared" si="10"/>
        <v>84240</v>
      </c>
      <c r="K100" s="10">
        <f t="shared" si="11"/>
        <v>6.0351377018043684E-3</v>
      </c>
      <c r="L100" s="10"/>
      <c r="M100" s="17">
        <f t="shared" si="12"/>
        <v>1.8105413105413106E-2</v>
      </c>
    </row>
    <row r="101" spans="1:13" customFormat="1" x14ac:dyDescent="0.2">
      <c r="A101" s="190"/>
      <c r="B101" s="190"/>
      <c r="C101">
        <v>98</v>
      </c>
      <c r="D101" t="s">
        <v>97</v>
      </c>
      <c r="F101">
        <v>90</v>
      </c>
      <c r="G101" t="s">
        <v>98</v>
      </c>
      <c r="I101" s="8">
        <f>19.19*30</f>
        <v>575.70000000000005</v>
      </c>
      <c r="J101" s="9">
        <f t="shared" si="10"/>
        <v>105840</v>
      </c>
      <c r="K101" s="10">
        <f t="shared" si="11"/>
        <v>5.9117535903250194E-3</v>
      </c>
      <c r="L101" s="10"/>
      <c r="M101" s="17">
        <f t="shared" si="12"/>
        <v>1.7735260770975057E-2</v>
      </c>
    </row>
    <row r="102" spans="1:13" customFormat="1" x14ac:dyDescent="0.2">
      <c r="A102" s="191"/>
      <c r="B102" s="191"/>
      <c r="C102" s="1">
        <v>122</v>
      </c>
      <c r="D102" s="1" t="s">
        <v>97</v>
      </c>
      <c r="E102" s="1"/>
      <c r="F102" s="1">
        <v>90</v>
      </c>
      <c r="G102" s="1" t="s">
        <v>98</v>
      </c>
      <c r="H102" s="1"/>
      <c r="I102" s="18">
        <f>23.89*30</f>
        <v>716.7</v>
      </c>
      <c r="J102" s="9">
        <f t="shared" si="10"/>
        <v>131760</v>
      </c>
      <c r="K102" s="10">
        <f t="shared" si="11"/>
        <v>5.8189131754705532E-3</v>
      </c>
      <c r="L102" s="10"/>
      <c r="M102" s="17">
        <f t="shared" si="12"/>
        <v>1.745673952641166E-2</v>
      </c>
    </row>
    <row r="103" spans="1:13" customFormat="1" x14ac:dyDescent="0.2">
      <c r="A103" s="189" t="s">
        <v>117</v>
      </c>
      <c r="B103" s="194">
        <v>0.03</v>
      </c>
      <c r="C103">
        <v>78</v>
      </c>
      <c r="D103" t="s">
        <v>97</v>
      </c>
      <c r="F103">
        <v>90</v>
      </c>
      <c r="G103" t="s">
        <v>98</v>
      </c>
      <c r="I103" s="8">
        <f>17.18*30</f>
        <v>515.4</v>
      </c>
      <c r="J103" s="9">
        <f t="shared" si="10"/>
        <v>84240</v>
      </c>
      <c r="K103" s="10">
        <f t="shared" si="11"/>
        <v>6.711775878442545E-3</v>
      </c>
      <c r="L103" s="10"/>
      <c r="M103" s="17">
        <f t="shared" si="12"/>
        <v>2.0135327635327636E-2</v>
      </c>
    </row>
    <row r="104" spans="1:13" customFormat="1" x14ac:dyDescent="0.2">
      <c r="A104" s="190"/>
      <c r="B104" s="190"/>
      <c r="C104">
        <v>98</v>
      </c>
      <c r="D104" t="s">
        <v>97</v>
      </c>
      <c r="F104">
        <v>90</v>
      </c>
      <c r="G104" t="s">
        <v>98</v>
      </c>
      <c r="I104" s="8">
        <f>21.59*30</f>
        <v>647.70000000000005</v>
      </c>
      <c r="J104" s="9">
        <f t="shared" si="10"/>
        <v>105840</v>
      </c>
      <c r="K104" s="10">
        <f t="shared" si="11"/>
        <v>6.5920256991685569E-3</v>
      </c>
      <c r="L104" s="10"/>
      <c r="M104" s="17">
        <f t="shared" si="12"/>
        <v>1.977607709750567E-2</v>
      </c>
    </row>
    <row r="105" spans="1:13" customFormat="1" x14ac:dyDescent="0.2">
      <c r="A105" s="191"/>
      <c r="B105" s="191"/>
      <c r="C105" s="1">
        <v>122</v>
      </c>
      <c r="D105" s="1" t="s">
        <v>97</v>
      </c>
      <c r="E105" s="1"/>
      <c r="F105" s="1">
        <v>90</v>
      </c>
      <c r="G105" s="1" t="s">
        <v>98</v>
      </c>
      <c r="H105" s="1"/>
      <c r="I105" s="18">
        <f>25.25*30</f>
        <v>757.5</v>
      </c>
      <c r="J105" s="9">
        <f t="shared" si="10"/>
        <v>131760</v>
      </c>
      <c r="K105" s="10">
        <f t="shared" si="11"/>
        <v>6.1285670916818458E-3</v>
      </c>
      <c r="L105" s="10"/>
      <c r="M105" s="17">
        <f t="shared" si="12"/>
        <v>1.8385701275045539E-2</v>
      </c>
    </row>
    <row r="106" spans="1:13" customFormat="1" x14ac:dyDescent="0.2">
      <c r="A106" s="189" t="s">
        <v>118</v>
      </c>
      <c r="B106" s="194">
        <v>0.05</v>
      </c>
      <c r="C106">
        <v>78</v>
      </c>
      <c r="D106" t="s">
        <v>97</v>
      </c>
      <c r="F106">
        <v>90</v>
      </c>
      <c r="G106" t="s">
        <v>98</v>
      </c>
      <c r="I106" s="8">
        <f>16.14*30</f>
        <v>484.20000000000005</v>
      </c>
      <c r="J106" s="9">
        <f t="shared" si="10"/>
        <v>84240</v>
      </c>
      <c r="K106" s="10">
        <f t="shared" si="11"/>
        <v>6.3414055080721751E-3</v>
      </c>
      <c r="L106" s="10"/>
      <c r="M106" s="17">
        <f t="shared" si="12"/>
        <v>1.9024216524216524E-2</v>
      </c>
    </row>
    <row r="107" spans="1:13" customFormat="1" x14ac:dyDescent="0.2">
      <c r="A107" s="190"/>
      <c r="B107" s="190"/>
      <c r="C107">
        <v>98</v>
      </c>
      <c r="D107" t="s">
        <v>97</v>
      </c>
      <c r="F107">
        <v>90</v>
      </c>
      <c r="G107" t="s">
        <v>98</v>
      </c>
      <c r="I107" s="8">
        <f>20.28*30</f>
        <v>608.40000000000009</v>
      </c>
      <c r="J107" s="9">
        <f t="shared" si="10"/>
        <v>105840</v>
      </c>
      <c r="K107" s="10">
        <f t="shared" si="11"/>
        <v>6.2207105064247927E-3</v>
      </c>
      <c r="L107" s="10"/>
      <c r="M107" s="17">
        <f t="shared" si="12"/>
        <v>1.8662131519274379E-2</v>
      </c>
    </row>
    <row r="108" spans="1:13" customFormat="1" x14ac:dyDescent="0.2">
      <c r="A108" s="191"/>
      <c r="B108" s="190"/>
      <c r="C108" s="1">
        <v>122</v>
      </c>
      <c r="D108" t="s">
        <v>97</v>
      </c>
      <c r="F108">
        <v>90</v>
      </c>
      <c r="G108" t="s">
        <v>98</v>
      </c>
      <c r="I108" s="8">
        <f>25.25*30</f>
        <v>757.5</v>
      </c>
      <c r="J108" s="9">
        <f t="shared" si="10"/>
        <v>131760</v>
      </c>
      <c r="K108" s="10">
        <f t="shared" si="11"/>
        <v>6.1285670916818458E-3</v>
      </c>
      <c r="L108" s="10"/>
      <c r="M108" s="17">
        <f t="shared" si="12"/>
        <v>1.8385701275045539E-2</v>
      </c>
    </row>
    <row r="109" spans="1:13" customFormat="1" x14ac:dyDescent="0.2">
      <c r="A109" s="191" t="s">
        <v>119</v>
      </c>
      <c r="B109" s="191"/>
      <c r="C109" s="1">
        <v>98</v>
      </c>
      <c r="D109" s="1" t="s">
        <v>97</v>
      </c>
      <c r="E109" s="1"/>
      <c r="F109" s="1">
        <v>90</v>
      </c>
      <c r="G109" s="1" t="s">
        <v>98</v>
      </c>
      <c r="H109" s="1"/>
      <c r="I109" s="18">
        <f>22.3*30</f>
        <v>669</v>
      </c>
      <c r="J109" s="9">
        <f t="shared" si="10"/>
        <v>105840</v>
      </c>
      <c r="K109" s="10">
        <f t="shared" si="11"/>
        <v>6.7932728647014358E-3</v>
      </c>
      <c r="L109" s="10"/>
      <c r="M109" s="17">
        <f t="shared" si="12"/>
        <v>2.0379818594104308E-2</v>
      </c>
    </row>
    <row r="110" spans="1:13" customFormat="1" x14ac:dyDescent="0.2">
      <c r="A110" s="189" t="s">
        <v>120</v>
      </c>
      <c r="B110" s="195">
        <v>0.01</v>
      </c>
      <c r="C110" s="2">
        <v>98</v>
      </c>
      <c r="D110" s="2" t="s">
        <v>97</v>
      </c>
      <c r="E110" s="2"/>
      <c r="F110" s="2">
        <v>90</v>
      </c>
      <c r="G110" s="2" t="s">
        <v>98</v>
      </c>
      <c r="H110" s="2"/>
      <c r="I110" s="19">
        <f>23.61*30</f>
        <v>708.3</v>
      </c>
      <c r="J110" s="9">
        <f t="shared" si="10"/>
        <v>105840</v>
      </c>
      <c r="K110" s="10">
        <f t="shared" si="11"/>
        <v>7.1645880574452E-3</v>
      </c>
      <c r="L110" s="10"/>
      <c r="M110" s="17">
        <f t="shared" si="12"/>
        <v>2.1493764172335599E-2</v>
      </c>
    </row>
    <row r="111" spans="1:13" customFormat="1" x14ac:dyDescent="0.2">
      <c r="A111" s="189" t="s">
        <v>121</v>
      </c>
      <c r="B111" s="195">
        <v>0.03</v>
      </c>
      <c r="C111" s="2">
        <v>98</v>
      </c>
      <c r="D111" s="2" t="s">
        <v>97</v>
      </c>
      <c r="E111" s="2"/>
      <c r="F111" s="2">
        <v>90</v>
      </c>
      <c r="G111" s="2" t="s">
        <v>98</v>
      </c>
      <c r="H111" s="2"/>
      <c r="I111" s="19">
        <f>21.43*30</f>
        <v>642.9</v>
      </c>
      <c r="J111" s="9">
        <f t="shared" si="10"/>
        <v>105840</v>
      </c>
      <c r="K111" s="10">
        <f t="shared" si="11"/>
        <v>6.5466742252456534E-3</v>
      </c>
      <c r="L111" s="10"/>
      <c r="M111" s="17">
        <f t="shared" si="12"/>
        <v>1.9640022675736959E-2</v>
      </c>
    </row>
    <row r="112" spans="1:13" customFormat="1" x14ac:dyDescent="0.2">
      <c r="A112" s="189" t="s">
        <v>122</v>
      </c>
      <c r="B112" s="195">
        <v>0.05</v>
      </c>
      <c r="C112" s="2">
        <v>98</v>
      </c>
      <c r="D112" s="2" t="s">
        <v>97</v>
      </c>
      <c r="E112" s="2"/>
      <c r="F112" s="2">
        <f>55*3</f>
        <v>165</v>
      </c>
      <c r="G112" s="2" t="s">
        <v>98</v>
      </c>
      <c r="H112" s="2"/>
      <c r="I112" s="19">
        <f>29.76*55</f>
        <v>1636.8000000000002</v>
      </c>
      <c r="J112" s="9">
        <f t="shared" si="10"/>
        <v>194040</v>
      </c>
      <c r="K112" s="10">
        <f t="shared" si="11"/>
        <v>8.6930529787672649E-3</v>
      </c>
      <c r="L112" s="10"/>
      <c r="M112" s="17">
        <f t="shared" si="12"/>
        <v>2.6079158936301795E-2</v>
      </c>
    </row>
    <row r="113" spans="1:13" customFormat="1" x14ac:dyDescent="0.2">
      <c r="A113" s="191" t="s">
        <v>123</v>
      </c>
      <c r="B113" s="196">
        <v>0.1</v>
      </c>
      <c r="C113" s="1">
        <v>98</v>
      </c>
      <c r="D113" s="1" t="s">
        <v>97</v>
      </c>
      <c r="E113" s="1"/>
      <c r="F113" s="1">
        <v>165</v>
      </c>
      <c r="G113" s="1" t="s">
        <v>98</v>
      </c>
      <c r="H113" s="1"/>
      <c r="I113" s="18">
        <f>26.72*55</f>
        <v>1469.6</v>
      </c>
      <c r="J113" s="9">
        <f t="shared" si="10"/>
        <v>194040</v>
      </c>
      <c r="K113" s="10">
        <f t="shared" si="11"/>
        <v>7.8313749742321172E-3</v>
      </c>
      <c r="L113" s="10"/>
      <c r="M113" s="17">
        <f t="shared" si="12"/>
        <v>2.3494124922696352E-2</v>
      </c>
    </row>
    <row r="114" spans="1:13" customFormat="1" x14ac:dyDescent="0.2">
      <c r="A114" s="189" t="s">
        <v>124</v>
      </c>
      <c r="B114" s="195" t="s">
        <v>125</v>
      </c>
      <c r="C114" s="2">
        <v>78</v>
      </c>
      <c r="D114" s="2" t="s">
        <v>97</v>
      </c>
      <c r="E114" s="2"/>
      <c r="F114" s="2">
        <v>90</v>
      </c>
      <c r="G114" s="2" t="s">
        <v>98</v>
      </c>
      <c r="H114" s="2"/>
      <c r="I114" s="19">
        <f>26.32*30</f>
        <v>789.6</v>
      </c>
      <c r="J114" s="9">
        <f t="shared" si="10"/>
        <v>84240</v>
      </c>
      <c r="K114" s="10">
        <f t="shared" si="11"/>
        <v>9.9667616334283005E-3</v>
      </c>
      <c r="L114" s="10"/>
      <c r="M114" s="17">
        <f t="shared" si="12"/>
        <v>2.9900284900284901E-2</v>
      </c>
    </row>
    <row r="115" spans="1:13" customFormat="1" x14ac:dyDescent="0.2">
      <c r="A115" s="189" t="s">
        <v>126</v>
      </c>
      <c r="B115" s="189" t="s">
        <v>125</v>
      </c>
      <c r="C115" s="2">
        <v>78</v>
      </c>
      <c r="D115" s="2" t="s">
        <v>97</v>
      </c>
      <c r="E115" s="2"/>
      <c r="F115" s="2">
        <v>90</v>
      </c>
      <c r="G115" s="2" t="s">
        <v>98</v>
      </c>
      <c r="H115" s="2"/>
      <c r="I115" s="19">
        <f>26.32*30</f>
        <v>789.6</v>
      </c>
      <c r="J115" s="9">
        <f t="shared" si="10"/>
        <v>84240</v>
      </c>
      <c r="K115" s="10">
        <f t="shared" si="11"/>
        <v>9.9667616334283005E-3</v>
      </c>
      <c r="L115" s="10"/>
      <c r="M115" s="17">
        <f t="shared" si="12"/>
        <v>2.9900284900284901E-2</v>
      </c>
    </row>
    <row r="116" spans="1:13" customFormat="1" x14ac:dyDescent="0.2">
      <c r="A116" s="190" t="s">
        <v>127</v>
      </c>
      <c r="B116" s="190" t="s">
        <v>125</v>
      </c>
      <c r="C116">
        <v>78</v>
      </c>
      <c r="D116" t="s">
        <v>97</v>
      </c>
      <c r="F116">
        <v>90</v>
      </c>
      <c r="G116" t="s">
        <v>98</v>
      </c>
      <c r="I116" s="8">
        <f>30.3*30</f>
        <v>909</v>
      </c>
      <c r="J116" s="9">
        <f t="shared" si="10"/>
        <v>84240</v>
      </c>
      <c r="K116" s="10">
        <f t="shared" si="11"/>
        <v>1.1384140550807217E-2</v>
      </c>
      <c r="L116" s="10"/>
      <c r="M116" s="17">
        <f t="shared" si="12"/>
        <v>3.4152421652421647E-2</v>
      </c>
    </row>
    <row r="117" spans="1:13" customFormat="1" x14ac:dyDescent="0.2">
      <c r="A117" s="191" t="s">
        <v>128</v>
      </c>
      <c r="B117" s="191" t="s">
        <v>129</v>
      </c>
      <c r="C117" s="1">
        <v>78</v>
      </c>
      <c r="D117" s="1" t="s">
        <v>97</v>
      </c>
      <c r="E117" s="1"/>
      <c r="F117" s="1">
        <v>90</v>
      </c>
      <c r="G117" s="1" t="s">
        <v>98</v>
      </c>
      <c r="H117" s="1"/>
      <c r="I117" s="18">
        <f>41.83*30</f>
        <v>1254.8999999999999</v>
      </c>
      <c r="J117" s="9">
        <f t="shared" si="10"/>
        <v>84240</v>
      </c>
      <c r="K117" s="10">
        <f t="shared" si="11"/>
        <v>1.5490265906932572E-2</v>
      </c>
      <c r="L117" s="10"/>
      <c r="M117" s="17">
        <f t="shared" si="12"/>
        <v>4.6470797720797714E-2</v>
      </c>
    </row>
    <row r="118" spans="1:13" customFormat="1" x14ac:dyDescent="0.2">
      <c r="A118" s="189" t="s">
        <v>130</v>
      </c>
      <c r="B118" s="194">
        <v>0.04</v>
      </c>
      <c r="C118">
        <v>75</v>
      </c>
      <c r="D118" t="s">
        <v>97</v>
      </c>
      <c r="F118">
        <v>99</v>
      </c>
      <c r="G118" t="s">
        <v>98</v>
      </c>
      <c r="I118" s="8">
        <f>41.25*33</f>
        <v>1361.25</v>
      </c>
      <c r="J118" s="9">
        <f t="shared" si="10"/>
        <v>89100</v>
      </c>
      <c r="K118" s="10">
        <f t="shared" si="11"/>
        <v>1.5838945005611671E-2</v>
      </c>
      <c r="L118" s="10"/>
      <c r="M118" s="17">
        <f t="shared" si="12"/>
        <v>4.7516835016835013E-2</v>
      </c>
    </row>
    <row r="119" spans="1:13" customFormat="1" x14ac:dyDescent="0.2">
      <c r="A119" s="191"/>
      <c r="B119" s="191"/>
      <c r="C119" s="1">
        <v>94</v>
      </c>
      <c r="D119" s="1" t="s">
        <v>97</v>
      </c>
      <c r="E119" s="1"/>
      <c r="F119" s="1">
        <v>90</v>
      </c>
      <c r="G119" s="1" t="s">
        <v>98</v>
      </c>
      <c r="H119" s="1"/>
      <c r="I119" s="18">
        <f>51.98*33</f>
        <v>1715.34</v>
      </c>
      <c r="J119" s="9">
        <f t="shared" si="10"/>
        <v>101520</v>
      </c>
      <c r="K119" s="10">
        <f t="shared" si="11"/>
        <v>1.7389085894405042E-2</v>
      </c>
      <c r="L119" s="10"/>
      <c r="M119" s="17">
        <f t="shared" si="12"/>
        <v>5.2167257683215125E-2</v>
      </c>
    </row>
    <row r="120" spans="1:13" customFormat="1" x14ac:dyDescent="0.2">
      <c r="A120" s="191" t="s">
        <v>131</v>
      </c>
      <c r="B120" s="196">
        <v>0.03</v>
      </c>
      <c r="C120" s="1">
        <v>118</v>
      </c>
      <c r="D120" s="1" t="s">
        <v>97</v>
      </c>
      <c r="E120" s="1"/>
      <c r="F120" s="1">
        <v>165</v>
      </c>
      <c r="G120" s="1" t="s">
        <v>98</v>
      </c>
      <c r="H120" s="1"/>
      <c r="I120" s="18">
        <f>28*55</f>
        <v>1540</v>
      </c>
      <c r="J120" s="9">
        <f t="shared" si="10"/>
        <v>233640</v>
      </c>
      <c r="K120" s="10">
        <f t="shared" si="11"/>
        <v>6.8053415511042633E-3</v>
      </c>
      <c r="L120" s="10"/>
      <c r="M120" s="17">
        <f t="shared" si="12"/>
        <v>2.0416024653312791E-2</v>
      </c>
    </row>
    <row r="121" spans="1:13" customFormat="1" x14ac:dyDescent="0.2">
      <c r="A121" s="189" t="s">
        <v>132</v>
      </c>
      <c r="B121" s="195">
        <v>0.03</v>
      </c>
      <c r="C121" s="2">
        <v>94</v>
      </c>
      <c r="D121" s="2" t="s">
        <v>97</v>
      </c>
      <c r="E121" s="2"/>
      <c r="F121" s="2">
        <v>165</v>
      </c>
      <c r="G121" s="2" t="s">
        <v>98</v>
      </c>
      <c r="H121" s="2"/>
      <c r="I121" s="19">
        <f>29.04*55</f>
        <v>1597.2</v>
      </c>
      <c r="J121" s="9">
        <f t="shared" si="10"/>
        <v>186120</v>
      </c>
      <c r="K121" s="10">
        <f t="shared" si="11"/>
        <v>8.8502041693531066E-3</v>
      </c>
      <c r="L121" s="10"/>
      <c r="M121" s="17">
        <f t="shared" si="12"/>
        <v>2.6550612508059318E-2</v>
      </c>
    </row>
    <row r="122" spans="1:13" customFormat="1" x14ac:dyDescent="0.2">
      <c r="A122" s="189" t="s">
        <v>133</v>
      </c>
      <c r="B122" s="189" t="s">
        <v>129</v>
      </c>
      <c r="C122" s="2">
        <v>118</v>
      </c>
      <c r="D122" s="2" t="s">
        <v>97</v>
      </c>
      <c r="E122" s="2"/>
      <c r="F122" s="2">
        <f>27*3</f>
        <v>81</v>
      </c>
      <c r="G122" s="2" t="s">
        <v>98</v>
      </c>
      <c r="H122" s="2"/>
      <c r="I122" s="19">
        <f>41.5*27</f>
        <v>1120.5</v>
      </c>
      <c r="J122" s="9">
        <f>+C122*F122*12</f>
        <v>114696</v>
      </c>
      <c r="K122" s="10">
        <f>+(I122+50)/J122</f>
        <v>1.0205238194880379E-2</v>
      </c>
      <c r="L122" s="10"/>
      <c r="M122" s="17">
        <f t="shared" si="12"/>
        <v>3.0615714584641136E-2</v>
      </c>
    </row>
    <row r="123" spans="1:13" customFormat="1" x14ac:dyDescent="0.2">
      <c r="A123" s="197" t="s">
        <v>134</v>
      </c>
      <c r="B123" s="197" t="s">
        <v>129</v>
      </c>
      <c r="C123" s="2">
        <v>110</v>
      </c>
      <c r="D123" s="2" t="s">
        <v>97</v>
      </c>
      <c r="E123" s="2"/>
      <c r="F123" s="2">
        <v>90</v>
      </c>
      <c r="G123" s="2" t="s">
        <v>98</v>
      </c>
      <c r="H123" s="2"/>
      <c r="I123" s="19">
        <v>1102.8</v>
      </c>
      <c r="J123" s="9">
        <f>+C123*F123*12</f>
        <v>118800</v>
      </c>
      <c r="K123" s="10">
        <f>+(I123+50)/J123</f>
        <v>9.703703703703704E-3</v>
      </c>
      <c r="L123" s="10"/>
      <c r="M123" s="17">
        <f t="shared" si="12"/>
        <v>2.9111111111111112E-2</v>
      </c>
    </row>
    <row r="124" spans="1:13" customFormat="1" x14ac:dyDescent="0.2">
      <c r="A124" s="190"/>
      <c r="B124" s="190"/>
      <c r="I124" s="8"/>
      <c r="J124" s="9"/>
      <c r="K124" s="10"/>
      <c r="L124" s="10"/>
      <c r="M124" s="11"/>
    </row>
    <row r="125" spans="1:13" customFormat="1" ht="25.55" x14ac:dyDescent="0.4">
      <c r="A125" s="192" t="s">
        <v>135</v>
      </c>
      <c r="B125" s="191"/>
      <c r="C125" s="1"/>
      <c r="D125" s="1"/>
      <c r="E125" s="1"/>
      <c r="F125" s="1"/>
      <c r="G125" s="1"/>
      <c r="H125" s="1"/>
      <c r="I125" s="18"/>
      <c r="J125" s="9"/>
      <c r="K125" s="10"/>
      <c r="L125" s="10"/>
      <c r="M125" s="22"/>
    </row>
    <row r="126" spans="1:13" customFormat="1" x14ac:dyDescent="0.2">
      <c r="A126" s="189" t="s">
        <v>136</v>
      </c>
      <c r="B126" s="189"/>
      <c r="C126" s="2">
        <v>77</v>
      </c>
      <c r="D126" s="2" t="s">
        <v>97</v>
      </c>
      <c r="E126" s="2"/>
      <c r="F126" s="2">
        <v>90</v>
      </c>
      <c r="G126" s="2" t="s">
        <v>98</v>
      </c>
      <c r="H126" s="2"/>
      <c r="I126" s="19">
        <v>186.9</v>
      </c>
      <c r="J126" s="9">
        <f t="shared" si="10"/>
        <v>83160</v>
      </c>
      <c r="K126" s="10">
        <f t="shared" si="11"/>
        <v>2.8487253487253488E-3</v>
      </c>
      <c r="L126" s="10"/>
      <c r="M126" s="17">
        <f>+K126*markup</f>
        <v>8.5461760461760464E-3</v>
      </c>
    </row>
    <row r="127" spans="1:13" customFormat="1" x14ac:dyDescent="0.2">
      <c r="A127" s="190"/>
      <c r="B127" s="190"/>
      <c r="I127" s="8"/>
      <c r="J127" s="9"/>
      <c r="K127" s="10"/>
      <c r="L127" s="10"/>
      <c r="M127" s="21"/>
    </row>
    <row r="128" spans="1:13" customFormat="1" x14ac:dyDescent="0.2">
      <c r="A128" s="190"/>
      <c r="B128" s="190"/>
      <c r="I128" s="8"/>
      <c r="J128" s="9"/>
      <c r="K128" s="10"/>
      <c r="L128" s="10"/>
      <c r="M128" s="11"/>
    </row>
    <row r="129" spans="1:13" customFormat="1" ht="17.7" x14ac:dyDescent="0.3">
      <c r="A129" s="198" t="s">
        <v>137</v>
      </c>
      <c r="B129" s="191"/>
      <c r="C129" s="1"/>
      <c r="D129" s="1"/>
      <c r="E129" s="1"/>
      <c r="F129" s="1"/>
      <c r="G129" s="1"/>
      <c r="H129" s="1"/>
      <c r="I129" s="18"/>
      <c r="J129" s="9"/>
      <c r="K129" s="10"/>
      <c r="L129" s="10"/>
      <c r="M129" s="22"/>
    </row>
    <row r="130" spans="1:13" customFormat="1" x14ac:dyDescent="0.2">
      <c r="A130" s="189" t="s">
        <v>138</v>
      </c>
      <c r="B130" s="195">
        <v>0.05</v>
      </c>
      <c r="C130" s="2">
        <v>98</v>
      </c>
      <c r="D130" s="2"/>
      <c r="E130" s="2"/>
      <c r="F130" s="2">
        <f>3*32.8</f>
        <v>98.399999999999991</v>
      </c>
      <c r="G130" s="2" t="s">
        <v>98</v>
      </c>
      <c r="H130" s="2"/>
      <c r="I130" s="19">
        <f>16.79*32.8</f>
        <v>550.71199999999988</v>
      </c>
      <c r="J130" s="9">
        <f t="shared" ref="J130:J154" si="13">+C130*F130*12</f>
        <v>115718.39999999999</v>
      </c>
      <c r="K130" s="10">
        <f t="shared" ref="K130:K154" si="14">+(I130+50)/J130</f>
        <v>5.1911536972512572E-3</v>
      </c>
      <c r="L130" s="10"/>
      <c r="M130" s="17">
        <f>+K130*markup</f>
        <v>1.5573461091753771E-2</v>
      </c>
    </row>
    <row r="131" spans="1:13" customFormat="1" x14ac:dyDescent="0.2">
      <c r="A131" s="190" t="s">
        <v>139</v>
      </c>
      <c r="B131" s="190"/>
      <c r="C131">
        <v>70</v>
      </c>
      <c r="F131">
        <v>90</v>
      </c>
      <c r="G131" t="s">
        <v>98</v>
      </c>
      <c r="I131" s="8">
        <f>12.86*30</f>
        <v>385.79999999999995</v>
      </c>
      <c r="J131" s="9">
        <f t="shared" si="13"/>
        <v>75600</v>
      </c>
      <c r="K131" s="10">
        <f t="shared" si="14"/>
        <v>5.7645502645502639E-3</v>
      </c>
      <c r="L131" s="10"/>
      <c r="M131" s="17">
        <f>+K131*markup</f>
        <v>1.7293650793650792E-2</v>
      </c>
    </row>
    <row r="132" spans="1:13" customFormat="1" x14ac:dyDescent="0.2">
      <c r="A132" s="190"/>
      <c r="B132" s="190"/>
      <c r="I132" s="8"/>
      <c r="J132" s="9"/>
      <c r="K132" s="10"/>
      <c r="L132" s="10"/>
      <c r="M132" s="21"/>
    </row>
    <row r="133" spans="1:13" customFormat="1" ht="17.7" x14ac:dyDescent="0.3">
      <c r="A133" s="199" t="s">
        <v>140</v>
      </c>
      <c r="B133" s="191"/>
      <c r="C133" s="1"/>
      <c r="D133" s="1"/>
      <c r="E133" s="1"/>
      <c r="F133" s="1"/>
      <c r="G133" s="1"/>
      <c r="H133" s="1"/>
      <c r="I133" s="18"/>
      <c r="J133" s="9"/>
      <c r="K133" s="10"/>
      <c r="L133" s="10"/>
      <c r="M133" s="22"/>
    </row>
    <row r="134" spans="1:13" customFormat="1" x14ac:dyDescent="0.2">
      <c r="A134" s="191" t="s">
        <v>141</v>
      </c>
      <c r="B134" s="191" t="s">
        <v>142</v>
      </c>
      <c r="C134" s="1">
        <v>50</v>
      </c>
      <c r="D134" s="1" t="s">
        <v>97</v>
      </c>
      <c r="E134" s="1"/>
      <c r="F134" s="1">
        <v>150</v>
      </c>
      <c r="G134" s="1" t="s">
        <v>98</v>
      </c>
      <c r="H134" s="1"/>
      <c r="I134" s="18">
        <v>408</v>
      </c>
      <c r="J134" s="9">
        <f t="shared" si="13"/>
        <v>90000</v>
      </c>
      <c r="K134" s="10">
        <f t="shared" si="14"/>
        <v>5.0888888888888893E-3</v>
      </c>
      <c r="L134" s="10"/>
      <c r="M134" s="22">
        <f>+K134*markup</f>
        <v>1.5266666666666668E-2</v>
      </c>
    </row>
    <row r="135" spans="1:13" customFormat="1" x14ac:dyDescent="0.2">
      <c r="A135" s="200" t="s">
        <v>143</v>
      </c>
      <c r="B135" s="191" t="s">
        <v>142</v>
      </c>
      <c r="C135" s="1">
        <v>61</v>
      </c>
      <c r="D135" s="1" t="s">
        <v>97</v>
      </c>
      <c r="E135" s="1"/>
      <c r="F135" s="1">
        <f>60*3</f>
        <v>180</v>
      </c>
      <c r="G135" s="1" t="s">
        <v>98</v>
      </c>
      <c r="H135" s="1"/>
      <c r="I135" s="18">
        <v>395</v>
      </c>
      <c r="J135" s="9">
        <f t="shared" si="13"/>
        <v>131760</v>
      </c>
      <c r="K135" s="10">
        <f t="shared" si="14"/>
        <v>3.377352762598664E-3</v>
      </c>
      <c r="L135" s="10"/>
      <c r="M135" s="17">
        <f>+K135*markup</f>
        <v>1.0132058287795991E-2</v>
      </c>
    </row>
    <row r="136" spans="1:13" customFormat="1" x14ac:dyDescent="0.2">
      <c r="A136" s="201" t="s">
        <v>144</v>
      </c>
      <c r="B136" s="201" t="s">
        <v>129</v>
      </c>
      <c r="I136" s="8"/>
      <c r="J136" s="9"/>
      <c r="K136" s="10"/>
      <c r="L136" s="10"/>
      <c r="M136" s="21"/>
    </row>
    <row r="137" spans="1:13" customFormat="1" x14ac:dyDescent="0.2">
      <c r="A137" s="190"/>
      <c r="B137" s="190"/>
      <c r="I137" s="8"/>
      <c r="J137" s="9"/>
      <c r="K137" s="10"/>
      <c r="L137" s="10"/>
      <c r="M137" s="11"/>
    </row>
    <row r="138" spans="1:13" customFormat="1" ht="22.95" x14ac:dyDescent="0.35">
      <c r="A138" s="202" t="s">
        <v>145</v>
      </c>
      <c r="B138" s="191"/>
      <c r="C138" s="1"/>
      <c r="D138" s="1"/>
      <c r="E138" s="1"/>
      <c r="F138" s="1"/>
      <c r="G138" s="1"/>
      <c r="H138" s="1"/>
      <c r="I138" s="18"/>
      <c r="J138" s="9"/>
      <c r="K138" s="10"/>
      <c r="L138" s="10"/>
      <c r="M138" s="22"/>
    </row>
    <row r="139" spans="1:13" customFormat="1" x14ac:dyDescent="0.2">
      <c r="A139" s="191" t="s">
        <v>146</v>
      </c>
      <c r="B139" s="196">
        <v>0.05</v>
      </c>
      <c r="C139" s="1">
        <v>98</v>
      </c>
      <c r="D139" s="23" t="s">
        <v>97</v>
      </c>
      <c r="E139" s="1"/>
      <c r="F139" s="1">
        <v>99</v>
      </c>
      <c r="G139" s="1" t="s">
        <v>98</v>
      </c>
      <c r="H139" s="1"/>
      <c r="I139" s="18">
        <v>496.1</v>
      </c>
      <c r="J139" s="9">
        <f t="shared" si="13"/>
        <v>116424</v>
      </c>
      <c r="K139" s="10">
        <f t="shared" si="14"/>
        <v>4.6906136191850476E-3</v>
      </c>
      <c r="L139" s="10"/>
      <c r="M139" s="17">
        <f t="shared" ref="M139:M154" si="15">+K139*markup</f>
        <v>1.4071840857555144E-2</v>
      </c>
    </row>
    <row r="140" spans="1:13" customFormat="1" x14ac:dyDescent="0.2">
      <c r="A140" s="189" t="s">
        <v>147</v>
      </c>
      <c r="B140" s="195">
        <v>0.05</v>
      </c>
      <c r="C140" s="2">
        <v>98</v>
      </c>
      <c r="D140" s="24" t="s">
        <v>97</v>
      </c>
      <c r="E140" s="2"/>
      <c r="F140" s="2">
        <v>99</v>
      </c>
      <c r="G140" s="2" t="s">
        <v>98</v>
      </c>
      <c r="H140" s="2"/>
      <c r="I140" s="19">
        <v>505.12</v>
      </c>
      <c r="J140" s="9">
        <f t="shared" si="13"/>
        <v>116424</v>
      </c>
      <c r="K140" s="10">
        <f t="shared" si="14"/>
        <v>4.7680890538033399E-3</v>
      </c>
      <c r="L140" s="10"/>
      <c r="M140" s="17">
        <f t="shared" si="15"/>
        <v>1.430426716141002E-2</v>
      </c>
    </row>
    <row r="141" spans="1:13" customFormat="1" x14ac:dyDescent="0.2">
      <c r="A141" s="189" t="s">
        <v>148</v>
      </c>
      <c r="B141" s="195">
        <v>0.03</v>
      </c>
      <c r="C141" s="2">
        <v>98</v>
      </c>
      <c r="D141" s="24" t="s">
        <v>97</v>
      </c>
      <c r="E141" s="2"/>
      <c r="F141" s="2">
        <v>99</v>
      </c>
      <c r="G141" s="2" t="s">
        <v>98</v>
      </c>
      <c r="H141" s="2"/>
      <c r="I141" s="19">
        <v>518.65</v>
      </c>
      <c r="J141" s="9">
        <f>+C141*F141*12</f>
        <v>116424</v>
      </c>
      <c r="K141" s="10">
        <f>+(I141+50)/J141</f>
        <v>4.8843022057307771E-3</v>
      </c>
      <c r="L141" s="10"/>
      <c r="M141" s="17">
        <f t="shared" si="15"/>
        <v>1.4652906617192332E-2</v>
      </c>
    </row>
    <row r="142" spans="1:13" customFormat="1" x14ac:dyDescent="0.2">
      <c r="A142" s="189" t="s">
        <v>149</v>
      </c>
      <c r="B142" s="195">
        <v>0.03</v>
      </c>
      <c r="C142" s="2">
        <v>98</v>
      </c>
      <c r="D142" s="24" t="s">
        <v>97</v>
      </c>
      <c r="E142" s="2"/>
      <c r="F142" s="2">
        <v>99</v>
      </c>
      <c r="G142" s="2" t="s">
        <v>98</v>
      </c>
      <c r="H142" s="2"/>
      <c r="I142" s="19">
        <v>509.63</v>
      </c>
      <c r="J142" s="9">
        <f>+C142*F142*12</f>
        <v>116424</v>
      </c>
      <c r="K142" s="10">
        <f>+(I142+50)/J142</f>
        <v>4.8068267711124857E-3</v>
      </c>
      <c r="L142" s="10"/>
      <c r="M142" s="17">
        <f t="shared" si="15"/>
        <v>1.4420480313337456E-2</v>
      </c>
    </row>
    <row r="143" spans="1:13" customFormat="1" x14ac:dyDescent="0.2">
      <c r="A143" s="189" t="s">
        <v>150</v>
      </c>
      <c r="B143" s="195">
        <v>0.1</v>
      </c>
      <c r="C143" s="2">
        <v>98</v>
      </c>
      <c r="D143" s="2" t="s">
        <v>97</v>
      </c>
      <c r="E143" s="2"/>
      <c r="F143" s="2">
        <v>99</v>
      </c>
      <c r="G143" s="2" t="s">
        <v>98</v>
      </c>
      <c r="I143" s="18">
        <v>473.55</v>
      </c>
      <c r="J143" s="9">
        <f t="shared" si="13"/>
        <v>116424</v>
      </c>
      <c r="K143" s="10">
        <f t="shared" si="14"/>
        <v>4.496925032639318E-3</v>
      </c>
      <c r="L143" s="10"/>
      <c r="M143" s="17">
        <f t="shared" si="15"/>
        <v>1.3490775097917955E-2</v>
      </c>
    </row>
    <row r="144" spans="1:13" customFormat="1" x14ac:dyDescent="0.2">
      <c r="A144" s="191" t="s">
        <v>151</v>
      </c>
      <c r="B144" s="196">
        <v>0.03</v>
      </c>
      <c r="C144" s="3">
        <v>99</v>
      </c>
      <c r="D144" s="1" t="s">
        <v>97</v>
      </c>
      <c r="E144" s="23"/>
      <c r="F144" s="2">
        <v>99</v>
      </c>
      <c r="G144" s="1" t="s">
        <v>98</v>
      </c>
      <c r="H144" s="25"/>
      <c r="I144" s="19">
        <v>509.63</v>
      </c>
      <c r="J144" s="9">
        <f t="shared" si="13"/>
        <v>117612</v>
      </c>
      <c r="K144" s="10">
        <f t="shared" si="14"/>
        <v>4.7582729653436722E-3</v>
      </c>
      <c r="L144" s="10"/>
      <c r="M144" s="17">
        <f t="shared" si="15"/>
        <v>1.4274818896031017E-2</v>
      </c>
    </row>
    <row r="145" spans="1:13" customFormat="1" x14ac:dyDescent="0.2">
      <c r="A145" s="189" t="s">
        <v>152</v>
      </c>
      <c r="B145" s="195">
        <v>0.05</v>
      </c>
      <c r="C145" s="2">
        <v>98</v>
      </c>
      <c r="D145" s="24" t="s">
        <v>97</v>
      </c>
      <c r="E145" s="2"/>
      <c r="F145" s="2">
        <v>99</v>
      </c>
      <c r="G145" s="2" t="s">
        <v>98</v>
      </c>
      <c r="H145" s="2"/>
      <c r="I145" s="19">
        <v>509.63</v>
      </c>
      <c r="J145" s="9">
        <f t="shared" si="13"/>
        <v>116424</v>
      </c>
      <c r="K145" s="10">
        <f t="shared" si="14"/>
        <v>4.8068267711124857E-3</v>
      </c>
      <c r="L145" s="10"/>
      <c r="M145" s="17">
        <f t="shared" si="15"/>
        <v>1.4420480313337456E-2</v>
      </c>
    </row>
    <row r="146" spans="1:13" customFormat="1" x14ac:dyDescent="0.2">
      <c r="A146" s="189" t="s">
        <v>153</v>
      </c>
      <c r="B146" s="195">
        <v>0.05</v>
      </c>
      <c r="C146" s="2">
        <v>98</v>
      </c>
      <c r="D146" s="24" t="s">
        <v>97</v>
      </c>
      <c r="E146" s="2"/>
      <c r="F146" s="1">
        <v>99</v>
      </c>
      <c r="G146" s="1" t="s">
        <v>98</v>
      </c>
      <c r="H146" s="1"/>
      <c r="I146" s="18">
        <v>496.1</v>
      </c>
      <c r="J146" s="9">
        <f t="shared" si="13"/>
        <v>116424</v>
      </c>
      <c r="K146" s="10">
        <f t="shared" si="14"/>
        <v>4.6906136191850476E-3</v>
      </c>
      <c r="L146" s="10"/>
      <c r="M146" s="17">
        <f t="shared" si="15"/>
        <v>1.4071840857555144E-2</v>
      </c>
    </row>
    <row r="147" spans="1:13" customFormat="1" x14ac:dyDescent="0.2">
      <c r="A147" s="189" t="s">
        <v>154</v>
      </c>
      <c r="B147" s="195">
        <v>0.05</v>
      </c>
      <c r="C147" s="2">
        <v>98</v>
      </c>
      <c r="D147" s="24" t="s">
        <v>97</v>
      </c>
      <c r="E147" s="2"/>
      <c r="F147" s="1">
        <v>99</v>
      </c>
      <c r="G147" s="1" t="s">
        <v>98</v>
      </c>
      <c r="H147" s="1"/>
      <c r="I147" s="18">
        <v>541.20000000000005</v>
      </c>
      <c r="J147" s="9">
        <f t="shared" si="13"/>
        <v>116424</v>
      </c>
      <c r="K147" s="10">
        <f t="shared" si="14"/>
        <v>5.0779907922765067E-3</v>
      </c>
      <c r="L147" s="10"/>
      <c r="M147" s="17">
        <f t="shared" si="15"/>
        <v>1.5233972376829521E-2</v>
      </c>
    </row>
    <row r="148" spans="1:13" customFormat="1" x14ac:dyDescent="0.2">
      <c r="A148" s="189" t="s">
        <v>155</v>
      </c>
      <c r="B148" s="195">
        <v>0.03</v>
      </c>
      <c r="C148" s="2">
        <v>98</v>
      </c>
      <c r="D148" s="24" t="s">
        <v>97</v>
      </c>
      <c r="E148" s="2"/>
      <c r="F148" s="1">
        <v>99</v>
      </c>
      <c r="G148" s="1" t="s">
        <v>98</v>
      </c>
      <c r="H148" s="1"/>
      <c r="I148" s="18">
        <v>545.71</v>
      </c>
      <c r="J148" s="9">
        <f t="shared" si="13"/>
        <v>116424</v>
      </c>
      <c r="K148" s="10">
        <f t="shared" si="14"/>
        <v>5.1167285095856524E-3</v>
      </c>
      <c r="L148" s="10"/>
      <c r="M148" s="17">
        <f t="shared" si="15"/>
        <v>1.5350185528756957E-2</v>
      </c>
    </row>
    <row r="149" spans="1:13" customFormat="1" x14ac:dyDescent="0.2">
      <c r="A149" s="189" t="s">
        <v>156</v>
      </c>
      <c r="B149" s="195">
        <v>0.1</v>
      </c>
      <c r="C149" s="2">
        <v>98</v>
      </c>
      <c r="D149" s="24" t="s">
        <v>97</v>
      </c>
      <c r="E149" s="2"/>
      <c r="F149" s="1">
        <v>99</v>
      </c>
      <c r="G149" s="1" t="s">
        <v>98</v>
      </c>
      <c r="H149" s="1"/>
      <c r="I149" s="18">
        <v>462.53</v>
      </c>
      <c r="J149" s="9">
        <f t="shared" si="13"/>
        <v>116424</v>
      </c>
      <c r="K149" s="10">
        <f t="shared" si="14"/>
        <v>4.4022710094138665E-3</v>
      </c>
      <c r="L149" s="10"/>
      <c r="M149" s="17">
        <f t="shared" si="15"/>
        <v>1.32068130282416E-2</v>
      </c>
    </row>
    <row r="150" spans="1:13" customFormat="1" x14ac:dyDescent="0.2">
      <c r="A150" s="190" t="s">
        <v>157</v>
      </c>
      <c r="B150" s="194">
        <v>0.03</v>
      </c>
      <c r="C150" s="1">
        <v>98</v>
      </c>
      <c r="D150" s="23" t="s">
        <v>97</v>
      </c>
      <c r="E150" s="1"/>
      <c r="F150" s="2">
        <v>99</v>
      </c>
      <c r="G150" s="2" t="s">
        <v>98</v>
      </c>
      <c r="H150" s="2"/>
      <c r="I150" s="19">
        <v>500.61</v>
      </c>
      <c r="J150" s="9">
        <f t="shared" si="13"/>
        <v>116424</v>
      </c>
      <c r="K150" s="10">
        <f t="shared" si="14"/>
        <v>4.7293513364941942E-3</v>
      </c>
      <c r="L150" s="10"/>
      <c r="M150" s="17">
        <f t="shared" si="15"/>
        <v>1.4188054009482583E-2</v>
      </c>
    </row>
    <row r="151" spans="1:13" customFormat="1" x14ac:dyDescent="0.2">
      <c r="A151" s="189" t="s">
        <v>158</v>
      </c>
      <c r="B151" s="195">
        <v>0.01</v>
      </c>
      <c r="C151" s="2">
        <v>98</v>
      </c>
      <c r="D151" s="24" t="s">
        <v>97</v>
      </c>
      <c r="E151" s="2"/>
      <c r="F151" s="2">
        <v>99</v>
      </c>
      <c r="G151" s="2" t="s">
        <v>98</v>
      </c>
      <c r="H151" s="2"/>
      <c r="I151" s="19">
        <v>590.80999999999995</v>
      </c>
      <c r="J151" s="9">
        <f t="shared" si="13"/>
        <v>116424</v>
      </c>
      <c r="K151" s="10">
        <f t="shared" si="14"/>
        <v>5.5041056826771106E-3</v>
      </c>
      <c r="L151" s="10"/>
      <c r="M151" s="17">
        <f t="shared" si="15"/>
        <v>1.6512317048031331E-2</v>
      </c>
    </row>
    <row r="152" spans="1:13" customFormat="1" x14ac:dyDescent="0.2">
      <c r="A152" s="189" t="s">
        <v>159</v>
      </c>
      <c r="B152" s="195">
        <v>0.01</v>
      </c>
      <c r="C152" s="2">
        <v>98</v>
      </c>
      <c r="D152" s="24" t="s">
        <v>97</v>
      </c>
      <c r="E152" s="2"/>
      <c r="F152" s="2">
        <v>99</v>
      </c>
      <c r="G152" s="2" t="s">
        <v>98</v>
      </c>
      <c r="H152" s="2"/>
      <c r="I152" s="19">
        <v>608.85</v>
      </c>
      <c r="J152" s="9">
        <f t="shared" si="13"/>
        <v>116424</v>
      </c>
      <c r="K152" s="10">
        <f t="shared" si="14"/>
        <v>5.6590565519136953E-3</v>
      </c>
      <c r="L152" s="10"/>
      <c r="M152" s="17">
        <f t="shared" si="15"/>
        <v>1.6977169655741087E-2</v>
      </c>
    </row>
    <row r="153" spans="1:13" customFormat="1" x14ac:dyDescent="0.2">
      <c r="A153" s="189" t="s">
        <v>160</v>
      </c>
      <c r="B153" s="195">
        <v>0.03</v>
      </c>
      <c r="C153" s="2">
        <v>98</v>
      </c>
      <c r="D153" s="24" t="s">
        <v>97</v>
      </c>
      <c r="E153" s="2"/>
      <c r="F153" s="2">
        <v>99</v>
      </c>
      <c r="G153" s="2" t="s">
        <v>98</v>
      </c>
      <c r="H153" s="2"/>
      <c r="I153" s="19">
        <v>518.65</v>
      </c>
      <c r="J153" s="9">
        <f t="shared" si="13"/>
        <v>116424</v>
      </c>
      <c r="K153" s="10">
        <f t="shared" si="14"/>
        <v>4.8843022057307771E-3</v>
      </c>
      <c r="L153" s="10"/>
      <c r="M153" s="17">
        <f t="shared" si="15"/>
        <v>1.4652906617192332E-2</v>
      </c>
    </row>
    <row r="154" spans="1:13" customFormat="1" x14ac:dyDescent="0.2">
      <c r="A154" s="189" t="s">
        <v>161</v>
      </c>
      <c r="B154" s="195">
        <v>0.15</v>
      </c>
      <c r="C154" s="2">
        <v>98</v>
      </c>
      <c r="D154" s="24" t="s">
        <v>97</v>
      </c>
      <c r="E154" s="2"/>
      <c r="F154" s="2">
        <v>99</v>
      </c>
      <c r="G154" s="2" t="s">
        <v>98</v>
      </c>
      <c r="H154" s="2"/>
      <c r="I154" s="19">
        <v>451</v>
      </c>
      <c r="J154" s="9">
        <f t="shared" si="13"/>
        <v>116424</v>
      </c>
      <c r="K154" s="10">
        <f t="shared" si="14"/>
        <v>4.3032364460935894E-3</v>
      </c>
      <c r="L154" s="10"/>
      <c r="M154" s="17">
        <f t="shared" si="15"/>
        <v>1.2909709338280768E-2</v>
      </c>
    </row>
    <row r="155" spans="1:13" customFormat="1" x14ac:dyDescent="0.2">
      <c r="A155" s="190"/>
      <c r="B155" s="190"/>
      <c r="I155" s="8"/>
      <c r="J155" s="9"/>
      <c r="K155" s="10"/>
      <c r="L155" s="10"/>
      <c r="M155" s="11"/>
    </row>
    <row r="156" spans="1:13" customFormat="1" x14ac:dyDescent="0.2">
      <c r="A156" s="190"/>
      <c r="B156" s="190"/>
      <c r="I156" s="8"/>
      <c r="J156" s="9"/>
      <c r="K156" s="10"/>
      <c r="L156" s="10"/>
      <c r="M156" s="11"/>
    </row>
    <row r="157" spans="1:13" customFormat="1" x14ac:dyDescent="0.2">
      <c r="A157" s="190"/>
      <c r="B157" s="190"/>
      <c r="I157" s="8"/>
      <c r="J157" s="9"/>
      <c r="K157" s="10"/>
      <c r="L157" s="10"/>
      <c r="M157" s="11"/>
    </row>
    <row r="158" spans="1:13" customFormat="1" ht="20.3" x14ac:dyDescent="0.35">
      <c r="A158" s="203" t="s">
        <v>162</v>
      </c>
      <c r="B158" s="191"/>
      <c r="C158" s="1"/>
      <c r="D158" s="1"/>
      <c r="E158" s="1"/>
      <c r="F158" s="1"/>
      <c r="G158" s="1"/>
      <c r="H158" s="1"/>
      <c r="I158" s="18"/>
      <c r="J158" s="9"/>
      <c r="K158" s="10"/>
      <c r="L158" s="10"/>
      <c r="M158" s="11"/>
    </row>
    <row r="159" spans="1:13" customFormat="1" x14ac:dyDescent="0.2">
      <c r="A159" s="197" t="s">
        <v>163</v>
      </c>
      <c r="B159" s="197" t="s">
        <v>129</v>
      </c>
      <c r="C159" s="2">
        <v>118</v>
      </c>
      <c r="D159" s="26" t="s">
        <v>97</v>
      </c>
      <c r="E159" s="2"/>
      <c r="F159" s="26">
        <f>32.8*3</f>
        <v>98.399999999999991</v>
      </c>
      <c r="G159" s="26" t="s">
        <v>98</v>
      </c>
      <c r="H159" s="2"/>
      <c r="I159" s="19">
        <v>508.4</v>
      </c>
      <c r="J159" s="9">
        <f>+C159*F159*12</f>
        <v>139334.39999999999</v>
      </c>
      <c r="K159" s="10">
        <f>+(I159+50)/J159</f>
        <v>4.007624822010932E-3</v>
      </c>
      <c r="L159" s="10"/>
      <c r="M159" s="17">
        <f>+K159*markup</f>
        <v>1.2022874466032795E-2</v>
      </c>
    </row>
    <row r="160" spans="1:13" customFormat="1" x14ac:dyDescent="0.2">
      <c r="A160" s="197" t="s">
        <v>179</v>
      </c>
      <c r="B160" s="197" t="s">
        <v>129</v>
      </c>
      <c r="C160" s="2">
        <v>110</v>
      </c>
      <c r="D160" s="26" t="s">
        <v>97</v>
      </c>
      <c r="E160" s="2"/>
      <c r="F160" s="26">
        <f>27*3</f>
        <v>81</v>
      </c>
      <c r="G160" s="26" t="s">
        <v>98</v>
      </c>
      <c r="H160" s="2"/>
      <c r="I160" s="19">
        <v>680.67</v>
      </c>
      <c r="J160" s="9">
        <f>+C160*F160*12</f>
        <v>106920</v>
      </c>
      <c r="K160" s="10">
        <f>+(I160+50)/J160</f>
        <v>6.8338009726898611E-3</v>
      </c>
      <c r="L160" s="10"/>
      <c r="M160" s="17">
        <f>+K160*markup</f>
        <v>2.0501402918069584E-2</v>
      </c>
    </row>
    <row r="161" spans="1:2" x14ac:dyDescent="0.2">
      <c r="A161" s="204"/>
      <c r="B161" s="204"/>
    </row>
  </sheetData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0582A-B137-47B6-8D66-FA7C224DDB78}">
  <sheetPr codeName="Sheet6"/>
  <dimension ref="A2:BA57"/>
  <sheetViews>
    <sheetView topLeftCell="C1" workbookViewId="0">
      <selection activeCell="L24" sqref="L24"/>
    </sheetView>
  </sheetViews>
  <sheetFormatPr defaultRowHeight="12.45" x14ac:dyDescent="0.2"/>
  <cols>
    <col min="1" max="1" width="17" customWidth="1"/>
    <col min="2" max="2" width="10.125" customWidth="1"/>
    <col min="3" max="3" width="9.375" customWidth="1"/>
    <col min="4" max="4" width="10.25" customWidth="1"/>
    <col min="8" max="8" width="17" customWidth="1"/>
    <col min="9" max="9" width="12" customWidth="1"/>
    <col min="11" max="11" width="10" customWidth="1"/>
    <col min="13" max="13" width="11.25" customWidth="1"/>
    <col min="15" max="15" width="10" customWidth="1"/>
  </cols>
  <sheetData>
    <row r="2" spans="1:53" s="6" customFormat="1" ht="15.75" customHeight="1" x14ac:dyDescent="0.25">
      <c r="A2" s="131" t="s">
        <v>203</v>
      </c>
      <c r="B2" s="134">
        <v>1</v>
      </c>
      <c r="C2" s="134">
        <v>2</v>
      </c>
      <c r="D2" s="134">
        <v>3</v>
      </c>
      <c r="E2" s="134">
        <v>4</v>
      </c>
      <c r="F2" s="134">
        <v>5</v>
      </c>
      <c r="G2" s="134">
        <v>6</v>
      </c>
      <c r="H2" s="134">
        <v>7</v>
      </c>
      <c r="I2" s="134">
        <v>8</v>
      </c>
      <c r="J2" s="134">
        <v>9</v>
      </c>
      <c r="K2" s="134">
        <v>10</v>
      </c>
      <c r="L2" s="134">
        <v>11</v>
      </c>
      <c r="M2" s="134">
        <v>12</v>
      </c>
      <c r="N2" s="134">
        <v>13</v>
      </c>
      <c r="O2" s="134">
        <v>14</v>
      </c>
      <c r="P2" s="134">
        <v>15</v>
      </c>
      <c r="Q2" s="134">
        <v>16</v>
      </c>
      <c r="R2" s="134">
        <v>17</v>
      </c>
      <c r="S2" s="134">
        <v>18</v>
      </c>
      <c r="T2" s="134">
        <v>19</v>
      </c>
      <c r="U2" s="134">
        <v>20</v>
      </c>
      <c r="V2" s="134">
        <v>21</v>
      </c>
      <c r="W2" s="134">
        <v>22</v>
      </c>
      <c r="X2" s="134">
        <v>23</v>
      </c>
      <c r="Y2" s="134">
        <v>24</v>
      </c>
      <c r="Z2" s="134">
        <v>25</v>
      </c>
      <c r="AA2" s="134">
        <v>26</v>
      </c>
      <c r="AB2" s="134">
        <v>27</v>
      </c>
      <c r="AC2" s="134">
        <v>28</v>
      </c>
      <c r="AD2" s="134">
        <v>29</v>
      </c>
      <c r="AE2" s="134">
        <v>30</v>
      </c>
      <c r="AF2" s="134">
        <v>31</v>
      </c>
      <c r="AG2" s="134">
        <v>32</v>
      </c>
      <c r="AH2" s="134">
        <v>33</v>
      </c>
      <c r="AI2" s="134">
        <v>34</v>
      </c>
      <c r="AJ2" s="134">
        <v>35</v>
      </c>
      <c r="AK2" s="134">
        <v>36</v>
      </c>
      <c r="AL2" s="134">
        <v>37</v>
      </c>
      <c r="AM2" s="134">
        <v>38</v>
      </c>
      <c r="AN2" s="134">
        <v>39</v>
      </c>
      <c r="AO2" s="134">
        <v>40</v>
      </c>
      <c r="AP2" s="134">
        <v>41</v>
      </c>
      <c r="AQ2" s="134">
        <v>42</v>
      </c>
      <c r="AR2" s="134">
        <v>43</v>
      </c>
      <c r="AS2" s="134">
        <v>44</v>
      </c>
      <c r="AT2" s="134">
        <v>45</v>
      </c>
      <c r="AU2" s="134">
        <v>46</v>
      </c>
      <c r="AV2" s="134">
        <v>47</v>
      </c>
      <c r="AW2" s="134">
        <v>48</v>
      </c>
      <c r="AX2" s="134">
        <v>49</v>
      </c>
      <c r="AY2" s="134">
        <v>50</v>
      </c>
      <c r="AZ2" s="134">
        <v>51</v>
      </c>
      <c r="BA2" s="134">
        <v>52</v>
      </c>
    </row>
    <row r="3" spans="1:53" x14ac:dyDescent="0.2">
      <c r="A3" s="130" t="s">
        <v>204</v>
      </c>
      <c r="B3" s="133" t="s">
        <v>241</v>
      </c>
      <c r="C3" s="133" t="s">
        <v>261</v>
      </c>
      <c r="D3" s="133" t="s">
        <v>263</v>
      </c>
      <c r="E3" s="133" t="s">
        <v>264</v>
      </c>
      <c r="F3" s="133" t="s">
        <v>265</v>
      </c>
      <c r="G3" s="133" t="s">
        <v>266</v>
      </c>
      <c r="H3" s="133" t="s">
        <v>267</v>
      </c>
      <c r="I3" s="133" t="s">
        <v>268</v>
      </c>
      <c r="J3" s="133" t="s">
        <v>269</v>
      </c>
      <c r="K3" s="133" t="s">
        <v>270</v>
      </c>
      <c r="L3" s="133" t="s">
        <v>271</v>
      </c>
      <c r="M3" s="133" t="s">
        <v>272</v>
      </c>
      <c r="N3" s="133" t="s">
        <v>273</v>
      </c>
      <c r="O3" s="133" t="s">
        <v>274</v>
      </c>
      <c r="P3" s="133" t="s">
        <v>275</v>
      </c>
      <c r="Q3" s="133" t="s">
        <v>276</v>
      </c>
      <c r="R3" s="133" t="s">
        <v>277</v>
      </c>
      <c r="S3" s="133" t="s">
        <v>278</v>
      </c>
      <c r="T3" s="133" t="s">
        <v>279</v>
      </c>
      <c r="U3" s="133" t="s">
        <v>280</v>
      </c>
      <c r="V3" s="133" t="s">
        <v>281</v>
      </c>
      <c r="W3" s="133" t="s">
        <v>282</v>
      </c>
      <c r="X3" s="133" t="s">
        <v>284</v>
      </c>
      <c r="Y3" s="133" t="s">
        <v>283</v>
      </c>
      <c r="Z3" s="133" t="s">
        <v>285</v>
      </c>
      <c r="AA3" s="133" t="s">
        <v>286</v>
      </c>
      <c r="AB3" s="133" t="s">
        <v>849</v>
      </c>
      <c r="AC3" s="133" t="s">
        <v>869</v>
      </c>
      <c r="AD3" s="133" t="s">
        <v>870</v>
      </c>
      <c r="AE3" s="133" t="s">
        <v>871</v>
      </c>
      <c r="AF3" s="133" t="s">
        <v>872</v>
      </c>
      <c r="AG3" s="133" t="s">
        <v>873</v>
      </c>
      <c r="AH3" s="133" t="s">
        <v>874</v>
      </c>
      <c r="AI3" s="133" t="s">
        <v>875</v>
      </c>
      <c r="AJ3" s="133" t="s">
        <v>876</v>
      </c>
      <c r="AK3" s="133" t="s">
        <v>877</v>
      </c>
      <c r="AL3" s="133" t="s">
        <v>878</v>
      </c>
      <c r="AM3" s="133" t="s">
        <v>879</v>
      </c>
      <c r="AN3" s="133" t="s">
        <v>880</v>
      </c>
      <c r="AO3" s="133" t="s">
        <v>881</v>
      </c>
      <c r="AP3" s="133" t="s">
        <v>882</v>
      </c>
      <c r="AQ3" s="133" t="s">
        <v>883</v>
      </c>
      <c r="AR3" s="133" t="s">
        <v>884</v>
      </c>
      <c r="AS3" s="133" t="s">
        <v>885</v>
      </c>
      <c r="AT3" s="133" t="s">
        <v>886</v>
      </c>
      <c r="AU3" s="133" t="s">
        <v>887</v>
      </c>
      <c r="AV3" s="133" t="s">
        <v>888</v>
      </c>
      <c r="AW3" s="133" t="s">
        <v>889</v>
      </c>
      <c r="AX3" s="133" t="s">
        <v>890</v>
      </c>
      <c r="AY3" s="133" t="s">
        <v>891</v>
      </c>
      <c r="AZ3" s="133" t="s">
        <v>894</v>
      </c>
      <c r="BA3" s="133" t="s">
        <v>895</v>
      </c>
    </row>
    <row r="4" spans="1:53" x14ac:dyDescent="0.2">
      <c r="A4" s="135"/>
      <c r="B4" s="133" t="s">
        <v>242</v>
      </c>
      <c r="C4" s="133" t="s">
        <v>262</v>
      </c>
      <c r="D4" s="133" t="s">
        <v>305</v>
      </c>
      <c r="E4" s="133" t="s">
        <v>324</v>
      </c>
      <c r="F4" s="133" t="s">
        <v>343</v>
      </c>
      <c r="G4" s="133" t="s">
        <v>362</v>
      </c>
      <c r="H4" s="133" t="s">
        <v>381</v>
      </c>
      <c r="I4" s="133" t="s">
        <v>400</v>
      </c>
      <c r="J4" s="133" t="s">
        <v>419</v>
      </c>
      <c r="K4" s="133" t="s">
        <v>438</v>
      </c>
      <c r="L4" s="133" t="s">
        <v>457</v>
      </c>
      <c r="M4" s="133" t="s">
        <v>476</v>
      </c>
      <c r="N4" s="133" t="s">
        <v>495</v>
      </c>
      <c r="O4" s="133" t="s">
        <v>514</v>
      </c>
      <c r="P4" s="133" t="s">
        <v>533</v>
      </c>
      <c r="Q4" s="133" t="s">
        <v>552</v>
      </c>
      <c r="R4" s="133" t="s">
        <v>571</v>
      </c>
      <c r="S4" s="133" t="s">
        <v>574</v>
      </c>
      <c r="T4" s="133" t="s">
        <v>593</v>
      </c>
      <c r="U4" s="133" t="s">
        <v>612</v>
      </c>
      <c r="V4" s="133" t="s">
        <v>631</v>
      </c>
      <c r="W4" s="133" t="s">
        <v>650</v>
      </c>
      <c r="X4" s="133" t="s">
        <v>669</v>
      </c>
      <c r="Y4" s="133" t="s">
        <v>688</v>
      </c>
      <c r="Z4" s="133" t="s">
        <v>707</v>
      </c>
      <c r="AA4" s="133" t="s">
        <v>726</v>
      </c>
      <c r="AB4" s="133" t="s">
        <v>850</v>
      </c>
      <c r="AC4" s="133" t="s">
        <v>896</v>
      </c>
      <c r="AD4" s="133" t="s">
        <v>915</v>
      </c>
      <c r="AE4" s="133" t="s">
        <v>934</v>
      </c>
      <c r="AF4" s="133" t="s">
        <v>953</v>
      </c>
      <c r="AG4" s="133" t="s">
        <v>972</v>
      </c>
      <c r="AH4" s="133" t="s">
        <v>991</v>
      </c>
      <c r="AI4" s="133" t="s">
        <v>1010</v>
      </c>
      <c r="AJ4" s="133" t="s">
        <v>1029</v>
      </c>
      <c r="AK4" s="133" t="s">
        <v>1048</v>
      </c>
      <c r="AL4" s="133" t="s">
        <v>1067</v>
      </c>
      <c r="AM4" s="133" t="s">
        <v>1086</v>
      </c>
      <c r="AN4" s="133" t="s">
        <v>1105</v>
      </c>
      <c r="AO4" s="133" t="s">
        <v>1124</v>
      </c>
      <c r="AP4" s="133" t="s">
        <v>1143</v>
      </c>
      <c r="AQ4" s="133" t="s">
        <v>1162</v>
      </c>
      <c r="AR4" s="133" t="s">
        <v>1181</v>
      </c>
      <c r="AS4" s="133" t="s">
        <v>1200</v>
      </c>
      <c r="AT4" s="133" t="s">
        <v>1219</v>
      </c>
      <c r="AU4" s="133" t="s">
        <v>1238</v>
      </c>
      <c r="AV4" s="133" t="s">
        <v>1257</v>
      </c>
      <c r="AW4" s="133" t="s">
        <v>1276</v>
      </c>
      <c r="AX4" s="133" t="s">
        <v>1295</v>
      </c>
      <c r="AY4" s="133" t="s">
        <v>892</v>
      </c>
      <c r="AZ4" s="133" t="s">
        <v>1331</v>
      </c>
      <c r="BA4" s="133" t="s">
        <v>1350</v>
      </c>
    </row>
    <row r="5" spans="1:53" x14ac:dyDescent="0.2">
      <c r="A5" s="135"/>
      <c r="B5" s="133" t="s">
        <v>243</v>
      </c>
      <c r="C5" s="133" t="s">
        <v>287</v>
      </c>
      <c r="D5" s="133" t="s">
        <v>306</v>
      </c>
      <c r="E5" s="133" t="s">
        <v>325</v>
      </c>
      <c r="F5" s="133" t="s">
        <v>344</v>
      </c>
      <c r="G5" s="133" t="s">
        <v>363</v>
      </c>
      <c r="H5" s="133" t="s">
        <v>382</v>
      </c>
      <c r="I5" s="133" t="s">
        <v>401</v>
      </c>
      <c r="J5" s="133" t="s">
        <v>420</v>
      </c>
      <c r="K5" s="133" t="s">
        <v>439</v>
      </c>
      <c r="L5" s="133" t="s">
        <v>458</v>
      </c>
      <c r="M5" s="133" t="s">
        <v>477</v>
      </c>
      <c r="N5" s="133" t="s">
        <v>496</v>
      </c>
      <c r="O5" s="133" t="s">
        <v>515</v>
      </c>
      <c r="P5" s="133" t="s">
        <v>534</v>
      </c>
      <c r="Q5" s="133" t="s">
        <v>553</v>
      </c>
      <c r="R5" s="133" t="s">
        <v>572</v>
      </c>
      <c r="S5" s="133" t="s">
        <v>575</v>
      </c>
      <c r="T5" s="133" t="s">
        <v>594</v>
      </c>
      <c r="U5" s="133" t="s">
        <v>613</v>
      </c>
      <c r="V5" s="133" t="s">
        <v>632</v>
      </c>
      <c r="W5" s="133" t="s">
        <v>651</v>
      </c>
      <c r="X5" s="133" t="s">
        <v>670</v>
      </c>
      <c r="Y5" s="133" t="s">
        <v>689</v>
      </c>
      <c r="Z5" s="133" t="s">
        <v>708</v>
      </c>
      <c r="AA5" s="133" t="s">
        <v>727</v>
      </c>
      <c r="AB5" s="133" t="s">
        <v>851</v>
      </c>
      <c r="AC5" s="133" t="s">
        <v>897</v>
      </c>
      <c r="AD5" s="133" t="s">
        <v>916</v>
      </c>
      <c r="AE5" s="133" t="s">
        <v>935</v>
      </c>
      <c r="AF5" s="133" t="s">
        <v>954</v>
      </c>
      <c r="AG5" s="133" t="s">
        <v>973</v>
      </c>
      <c r="AH5" s="133" t="s">
        <v>992</v>
      </c>
      <c r="AI5" s="133" t="s">
        <v>1011</v>
      </c>
      <c r="AJ5" s="133" t="s">
        <v>1030</v>
      </c>
      <c r="AK5" s="133" t="s">
        <v>1049</v>
      </c>
      <c r="AL5" s="133" t="s">
        <v>1068</v>
      </c>
      <c r="AM5" s="133" t="s">
        <v>1087</v>
      </c>
      <c r="AN5" s="133" t="s">
        <v>1106</v>
      </c>
      <c r="AO5" s="133" t="s">
        <v>1125</v>
      </c>
      <c r="AP5" s="133" t="s">
        <v>1144</v>
      </c>
      <c r="AQ5" s="133" t="s">
        <v>1163</v>
      </c>
      <c r="AR5" s="133" t="s">
        <v>1182</v>
      </c>
      <c r="AS5" s="133" t="s">
        <v>1201</v>
      </c>
      <c r="AT5" s="133" t="s">
        <v>1220</v>
      </c>
      <c r="AU5" s="133" t="s">
        <v>1239</v>
      </c>
      <c r="AV5" s="133" t="s">
        <v>1258</v>
      </c>
      <c r="AW5" s="133" t="s">
        <v>1277</v>
      </c>
      <c r="AX5" s="133" t="s">
        <v>1296</v>
      </c>
      <c r="AY5" s="133" t="s">
        <v>893</v>
      </c>
      <c r="AZ5" s="133" t="s">
        <v>1332</v>
      </c>
      <c r="BA5" s="133" t="s">
        <v>1351</v>
      </c>
    </row>
    <row r="6" spans="1:53" x14ac:dyDescent="0.2">
      <c r="A6" s="135"/>
      <c r="B6" s="133" t="s">
        <v>244</v>
      </c>
      <c r="C6" s="133" t="s">
        <v>288</v>
      </c>
      <c r="D6" s="133" t="s">
        <v>307</v>
      </c>
      <c r="E6" s="133" t="s">
        <v>326</v>
      </c>
      <c r="F6" s="133" t="s">
        <v>345</v>
      </c>
      <c r="G6" s="133" t="s">
        <v>364</v>
      </c>
      <c r="H6" s="133" t="s">
        <v>383</v>
      </c>
      <c r="I6" s="133" t="s">
        <v>402</v>
      </c>
      <c r="J6" s="133" t="s">
        <v>421</v>
      </c>
      <c r="K6" s="133" t="s">
        <v>440</v>
      </c>
      <c r="L6" s="133" t="s">
        <v>459</v>
      </c>
      <c r="M6" s="133" t="s">
        <v>478</v>
      </c>
      <c r="N6" s="133" t="s">
        <v>497</v>
      </c>
      <c r="O6" s="133" t="s">
        <v>516</v>
      </c>
      <c r="P6" s="133" t="s">
        <v>535</v>
      </c>
      <c r="Q6" s="133" t="s">
        <v>554</v>
      </c>
      <c r="R6" s="133" t="s">
        <v>573</v>
      </c>
      <c r="S6" s="133" t="s">
        <v>576</v>
      </c>
      <c r="T6" s="133" t="s">
        <v>595</v>
      </c>
      <c r="U6" s="133" t="s">
        <v>614</v>
      </c>
      <c r="V6" s="133" t="s">
        <v>633</v>
      </c>
      <c r="W6" s="133" t="s">
        <v>652</v>
      </c>
      <c r="X6" s="133" t="s">
        <v>671</v>
      </c>
      <c r="Y6" s="133" t="s">
        <v>690</v>
      </c>
      <c r="Z6" s="133" t="s">
        <v>709</v>
      </c>
      <c r="AA6" s="133" t="s">
        <v>728</v>
      </c>
      <c r="AB6" s="133" t="s">
        <v>852</v>
      </c>
      <c r="AC6" s="133" t="s">
        <v>898</v>
      </c>
      <c r="AD6" s="133" t="s">
        <v>917</v>
      </c>
      <c r="AE6" s="133" t="s">
        <v>936</v>
      </c>
      <c r="AF6" s="133" t="s">
        <v>955</v>
      </c>
      <c r="AG6" s="133" t="s">
        <v>974</v>
      </c>
      <c r="AH6" s="133" t="s">
        <v>993</v>
      </c>
      <c r="AI6" s="133" t="s">
        <v>1012</v>
      </c>
      <c r="AJ6" s="133" t="s">
        <v>1031</v>
      </c>
      <c r="AK6" s="133" t="s">
        <v>1050</v>
      </c>
      <c r="AL6" s="133" t="s">
        <v>1069</v>
      </c>
      <c r="AM6" s="133" t="s">
        <v>1088</v>
      </c>
      <c r="AN6" s="133" t="s">
        <v>1107</v>
      </c>
      <c r="AO6" s="133" t="s">
        <v>1126</v>
      </c>
      <c r="AP6" s="133" t="s">
        <v>1145</v>
      </c>
      <c r="AQ6" s="133" t="s">
        <v>1164</v>
      </c>
      <c r="AR6" s="133" t="s">
        <v>1183</v>
      </c>
      <c r="AS6" s="133" t="s">
        <v>1202</v>
      </c>
      <c r="AT6" s="133" t="s">
        <v>1221</v>
      </c>
      <c r="AU6" s="133" t="s">
        <v>1240</v>
      </c>
      <c r="AV6" s="133" t="s">
        <v>1259</v>
      </c>
      <c r="AW6" s="133" t="s">
        <v>1278</v>
      </c>
      <c r="AX6" s="133" t="s">
        <v>1297</v>
      </c>
      <c r="AY6" s="133" t="s">
        <v>1314</v>
      </c>
      <c r="AZ6" s="133" t="s">
        <v>1333</v>
      </c>
      <c r="BA6" s="133" t="s">
        <v>1352</v>
      </c>
    </row>
    <row r="7" spans="1:53" x14ac:dyDescent="0.2">
      <c r="A7" s="135"/>
      <c r="B7" s="133" t="s">
        <v>245</v>
      </c>
      <c r="C7" s="133" t="s">
        <v>289</v>
      </c>
      <c r="D7" s="133" t="s">
        <v>308</v>
      </c>
      <c r="E7" s="133" t="s">
        <v>327</v>
      </c>
      <c r="F7" s="133" t="s">
        <v>346</v>
      </c>
      <c r="G7" s="133" t="s">
        <v>365</v>
      </c>
      <c r="H7" s="133" t="s">
        <v>384</v>
      </c>
      <c r="I7" s="133" t="s">
        <v>403</v>
      </c>
      <c r="J7" s="133" t="s">
        <v>422</v>
      </c>
      <c r="K7" s="133" t="s">
        <v>441</v>
      </c>
      <c r="L7" s="133" t="s">
        <v>460</v>
      </c>
      <c r="M7" s="133" t="s">
        <v>479</v>
      </c>
      <c r="N7" s="133" t="s">
        <v>498</v>
      </c>
      <c r="O7" s="133" t="s">
        <v>517</v>
      </c>
      <c r="P7" s="133" t="s">
        <v>536</v>
      </c>
      <c r="Q7" s="133" t="s">
        <v>555</v>
      </c>
      <c r="R7" s="133" t="s">
        <v>1388</v>
      </c>
      <c r="S7" s="133" t="s">
        <v>577</v>
      </c>
      <c r="T7" s="133" t="s">
        <v>596</v>
      </c>
      <c r="U7" s="133" t="s">
        <v>615</v>
      </c>
      <c r="V7" s="133" t="s">
        <v>634</v>
      </c>
      <c r="W7" s="133" t="s">
        <v>653</v>
      </c>
      <c r="X7" s="133" t="s">
        <v>672</v>
      </c>
      <c r="Y7" s="133" t="s">
        <v>691</v>
      </c>
      <c r="Z7" s="133" t="s">
        <v>710</v>
      </c>
      <c r="AA7" s="133" t="s">
        <v>729</v>
      </c>
      <c r="AB7" s="133" t="s">
        <v>853</v>
      </c>
      <c r="AC7" s="133" t="s">
        <v>899</v>
      </c>
      <c r="AD7" s="133" t="s">
        <v>918</v>
      </c>
      <c r="AE7" s="133" t="s">
        <v>937</v>
      </c>
      <c r="AF7" s="133" t="s">
        <v>956</v>
      </c>
      <c r="AG7" s="133" t="s">
        <v>975</v>
      </c>
      <c r="AH7" s="133" t="s">
        <v>994</v>
      </c>
      <c r="AI7" s="133" t="s">
        <v>1013</v>
      </c>
      <c r="AJ7" s="133" t="s">
        <v>1032</v>
      </c>
      <c r="AK7" s="133" t="s">
        <v>1051</v>
      </c>
      <c r="AL7" s="133" t="s">
        <v>1070</v>
      </c>
      <c r="AM7" s="133" t="s">
        <v>1089</v>
      </c>
      <c r="AN7" s="133" t="s">
        <v>1108</v>
      </c>
      <c r="AO7" s="133" t="s">
        <v>1127</v>
      </c>
      <c r="AP7" s="133" t="s">
        <v>1146</v>
      </c>
      <c r="AQ7" s="133" t="s">
        <v>1165</v>
      </c>
      <c r="AR7" s="133" t="s">
        <v>1184</v>
      </c>
      <c r="AS7" s="133" t="s">
        <v>1203</v>
      </c>
      <c r="AT7" s="133" t="s">
        <v>1222</v>
      </c>
      <c r="AU7" s="133" t="s">
        <v>1241</v>
      </c>
      <c r="AV7" s="133" t="s">
        <v>1260</v>
      </c>
      <c r="AW7" s="133" t="s">
        <v>1279</v>
      </c>
      <c r="AX7" s="133" t="s">
        <v>1298</v>
      </c>
      <c r="AY7" s="133" t="s">
        <v>1315</v>
      </c>
      <c r="AZ7" s="133" t="s">
        <v>1334</v>
      </c>
      <c r="BA7" s="133" t="s">
        <v>1353</v>
      </c>
    </row>
    <row r="8" spans="1:53" x14ac:dyDescent="0.2">
      <c r="A8" s="135"/>
      <c r="B8" s="133" t="s">
        <v>246</v>
      </c>
      <c r="C8" s="133" t="s">
        <v>290</v>
      </c>
      <c r="D8" s="133" t="s">
        <v>309</v>
      </c>
      <c r="E8" s="133" t="s">
        <v>328</v>
      </c>
      <c r="F8" s="133" t="s">
        <v>347</v>
      </c>
      <c r="G8" s="133" t="s">
        <v>366</v>
      </c>
      <c r="H8" s="133" t="s">
        <v>385</v>
      </c>
      <c r="I8" s="133" t="s">
        <v>404</v>
      </c>
      <c r="J8" s="133" t="s">
        <v>423</v>
      </c>
      <c r="K8" s="133" t="s">
        <v>442</v>
      </c>
      <c r="L8" s="133" t="s">
        <v>461</v>
      </c>
      <c r="M8" s="133" t="s">
        <v>480</v>
      </c>
      <c r="N8" s="133" t="s">
        <v>499</v>
      </c>
      <c r="O8" s="133" t="s">
        <v>518</v>
      </c>
      <c r="P8" s="133" t="s">
        <v>537</v>
      </c>
      <c r="Q8" s="133" t="s">
        <v>556</v>
      </c>
      <c r="R8" s="133" t="s">
        <v>1389</v>
      </c>
      <c r="S8" s="133" t="s">
        <v>578</v>
      </c>
      <c r="T8" s="133" t="s">
        <v>597</v>
      </c>
      <c r="U8" s="133" t="s">
        <v>616</v>
      </c>
      <c r="V8" s="133" t="s">
        <v>635</v>
      </c>
      <c r="W8" s="133" t="s">
        <v>654</v>
      </c>
      <c r="X8" s="133" t="s">
        <v>673</v>
      </c>
      <c r="Y8" s="133" t="s">
        <v>692</v>
      </c>
      <c r="Z8" s="133" t="s">
        <v>711</v>
      </c>
      <c r="AA8" s="133" t="s">
        <v>730</v>
      </c>
      <c r="AB8" s="133" t="s">
        <v>854</v>
      </c>
      <c r="AC8" s="133" t="s">
        <v>900</v>
      </c>
      <c r="AD8" s="133" t="s">
        <v>919</v>
      </c>
      <c r="AE8" s="133" t="s">
        <v>938</v>
      </c>
      <c r="AF8" s="133" t="s">
        <v>957</v>
      </c>
      <c r="AG8" s="133" t="s">
        <v>976</v>
      </c>
      <c r="AH8" s="133" t="s">
        <v>995</v>
      </c>
      <c r="AI8" s="133" t="s">
        <v>1014</v>
      </c>
      <c r="AJ8" s="133" t="s">
        <v>1033</v>
      </c>
      <c r="AK8" s="133" t="s">
        <v>1052</v>
      </c>
      <c r="AL8" s="133" t="s">
        <v>1071</v>
      </c>
      <c r="AM8" s="133" t="s">
        <v>1090</v>
      </c>
      <c r="AN8" s="133" t="s">
        <v>1109</v>
      </c>
      <c r="AO8" s="133" t="s">
        <v>1128</v>
      </c>
      <c r="AP8" s="133" t="s">
        <v>1147</v>
      </c>
      <c r="AQ8" s="133" t="s">
        <v>1166</v>
      </c>
      <c r="AR8" s="133" t="s">
        <v>1185</v>
      </c>
      <c r="AS8" s="133" t="s">
        <v>1204</v>
      </c>
      <c r="AT8" s="133" t="s">
        <v>1223</v>
      </c>
      <c r="AU8" s="133" t="s">
        <v>1242</v>
      </c>
      <c r="AV8" s="133" t="s">
        <v>1261</v>
      </c>
      <c r="AW8" s="133" t="s">
        <v>1280</v>
      </c>
      <c r="AX8" s="133" t="s">
        <v>1299</v>
      </c>
      <c r="AY8" s="133" t="s">
        <v>1316</v>
      </c>
      <c r="AZ8" s="133" t="s">
        <v>1335</v>
      </c>
      <c r="BA8" s="133" t="s">
        <v>1354</v>
      </c>
    </row>
    <row r="9" spans="1:53" x14ac:dyDescent="0.2">
      <c r="A9" s="135"/>
      <c r="B9" s="133" t="s">
        <v>247</v>
      </c>
      <c r="C9" s="133" t="s">
        <v>291</v>
      </c>
      <c r="D9" s="133" t="s">
        <v>310</v>
      </c>
      <c r="E9" s="133" t="s">
        <v>329</v>
      </c>
      <c r="F9" s="133" t="s">
        <v>348</v>
      </c>
      <c r="G9" s="133" t="s">
        <v>367</v>
      </c>
      <c r="H9" s="133" t="s">
        <v>386</v>
      </c>
      <c r="I9" s="133" t="s">
        <v>405</v>
      </c>
      <c r="J9" s="133" t="s">
        <v>424</v>
      </c>
      <c r="K9" s="133" t="s">
        <v>443</v>
      </c>
      <c r="L9" s="133" t="s">
        <v>462</v>
      </c>
      <c r="M9" s="133" t="s">
        <v>481</v>
      </c>
      <c r="N9" s="133" t="s">
        <v>500</v>
      </c>
      <c r="O9" s="133" t="s">
        <v>519</v>
      </c>
      <c r="P9" s="133" t="s">
        <v>538</v>
      </c>
      <c r="Q9" s="133" t="s">
        <v>557</v>
      </c>
      <c r="R9" s="133" t="s">
        <v>1390</v>
      </c>
      <c r="S9" s="133" t="s">
        <v>579</v>
      </c>
      <c r="T9" s="133" t="s">
        <v>598</v>
      </c>
      <c r="U9" s="133" t="s">
        <v>617</v>
      </c>
      <c r="V9" s="133" t="s">
        <v>636</v>
      </c>
      <c r="W9" s="133" t="s">
        <v>655</v>
      </c>
      <c r="X9" s="133" t="s">
        <v>674</v>
      </c>
      <c r="Y9" s="133" t="s">
        <v>693</v>
      </c>
      <c r="Z9" s="133" t="s">
        <v>712</v>
      </c>
      <c r="AA9" s="133" t="s">
        <v>731</v>
      </c>
      <c r="AB9" s="133" t="s">
        <v>855</v>
      </c>
      <c r="AC9" s="133" t="s">
        <v>901</v>
      </c>
      <c r="AD9" s="133" t="s">
        <v>920</v>
      </c>
      <c r="AE9" s="133" t="s">
        <v>939</v>
      </c>
      <c r="AF9" s="133" t="s">
        <v>958</v>
      </c>
      <c r="AG9" s="133" t="s">
        <v>977</v>
      </c>
      <c r="AH9" s="133" t="s">
        <v>996</v>
      </c>
      <c r="AI9" s="133" t="s">
        <v>1015</v>
      </c>
      <c r="AJ9" s="133" t="s">
        <v>1034</v>
      </c>
      <c r="AK9" s="133" t="s">
        <v>1053</v>
      </c>
      <c r="AL9" s="133" t="s">
        <v>1072</v>
      </c>
      <c r="AM9" s="133" t="s">
        <v>1091</v>
      </c>
      <c r="AN9" s="133" t="s">
        <v>1110</v>
      </c>
      <c r="AO9" s="133" t="s">
        <v>1129</v>
      </c>
      <c r="AP9" s="133" t="s">
        <v>1148</v>
      </c>
      <c r="AQ9" s="133" t="s">
        <v>1167</v>
      </c>
      <c r="AR9" s="133" t="s">
        <v>1186</v>
      </c>
      <c r="AS9" s="133" t="s">
        <v>1205</v>
      </c>
      <c r="AT9" s="133" t="s">
        <v>1224</v>
      </c>
      <c r="AU9" s="133" t="s">
        <v>1243</v>
      </c>
      <c r="AV9" s="133" t="s">
        <v>1262</v>
      </c>
      <c r="AW9" s="133" t="s">
        <v>1281</v>
      </c>
      <c r="AX9" s="133" t="s">
        <v>1300</v>
      </c>
      <c r="AY9" s="133" t="s">
        <v>1317</v>
      </c>
      <c r="AZ9" s="133" t="s">
        <v>1336</v>
      </c>
      <c r="BA9" s="133" t="s">
        <v>1355</v>
      </c>
    </row>
    <row r="10" spans="1:53" x14ac:dyDescent="0.2">
      <c r="A10" s="135"/>
      <c r="B10" s="133" t="s">
        <v>248</v>
      </c>
      <c r="C10" s="133" t="s">
        <v>292</v>
      </c>
      <c r="D10" s="133" t="s">
        <v>311</v>
      </c>
      <c r="E10" s="133" t="s">
        <v>330</v>
      </c>
      <c r="F10" s="133" t="s">
        <v>349</v>
      </c>
      <c r="G10" s="133" t="s">
        <v>368</v>
      </c>
      <c r="H10" s="133" t="s">
        <v>387</v>
      </c>
      <c r="I10" s="133" t="s">
        <v>406</v>
      </c>
      <c r="J10" s="133" t="s">
        <v>425</v>
      </c>
      <c r="K10" s="133" t="s">
        <v>444</v>
      </c>
      <c r="L10" s="133" t="s">
        <v>463</v>
      </c>
      <c r="M10" s="133" t="s">
        <v>482</v>
      </c>
      <c r="N10" s="133" t="s">
        <v>501</v>
      </c>
      <c r="O10" s="133" t="s">
        <v>520</v>
      </c>
      <c r="P10" s="133" t="s">
        <v>539</v>
      </c>
      <c r="Q10" s="133" t="s">
        <v>558</v>
      </c>
      <c r="R10" s="133" t="s">
        <v>1391</v>
      </c>
      <c r="S10" s="133" t="s">
        <v>580</v>
      </c>
      <c r="T10" s="133" t="s">
        <v>599</v>
      </c>
      <c r="U10" s="133" t="s">
        <v>618</v>
      </c>
      <c r="V10" s="133" t="s">
        <v>637</v>
      </c>
      <c r="W10" s="133" t="s">
        <v>656</v>
      </c>
      <c r="X10" s="133" t="s">
        <v>675</v>
      </c>
      <c r="Y10" s="133" t="s">
        <v>694</v>
      </c>
      <c r="Z10" s="133" t="s">
        <v>713</v>
      </c>
      <c r="AA10" s="133" t="s">
        <v>732</v>
      </c>
      <c r="AB10" s="133" t="s">
        <v>856</v>
      </c>
      <c r="AC10" s="133" t="s">
        <v>902</v>
      </c>
      <c r="AD10" s="133" t="s">
        <v>921</v>
      </c>
      <c r="AE10" s="133" t="s">
        <v>940</v>
      </c>
      <c r="AF10" s="133" t="s">
        <v>959</v>
      </c>
      <c r="AG10" s="133" t="s">
        <v>978</v>
      </c>
      <c r="AH10" s="133" t="s">
        <v>997</v>
      </c>
      <c r="AI10" s="133" t="s">
        <v>1016</v>
      </c>
      <c r="AJ10" s="133" t="s">
        <v>1035</v>
      </c>
      <c r="AK10" s="133" t="s">
        <v>1054</v>
      </c>
      <c r="AL10" s="133" t="s">
        <v>1073</v>
      </c>
      <c r="AM10" s="133" t="s">
        <v>1092</v>
      </c>
      <c r="AN10" s="133" t="s">
        <v>1111</v>
      </c>
      <c r="AO10" s="133" t="s">
        <v>1130</v>
      </c>
      <c r="AP10" s="133" t="s">
        <v>1149</v>
      </c>
      <c r="AQ10" s="133" t="s">
        <v>1168</v>
      </c>
      <c r="AR10" s="133" t="s">
        <v>1187</v>
      </c>
      <c r="AS10" s="133" t="s">
        <v>1206</v>
      </c>
      <c r="AT10" s="133" t="s">
        <v>1225</v>
      </c>
      <c r="AU10" s="133" t="s">
        <v>1244</v>
      </c>
      <c r="AV10" s="133" t="s">
        <v>1263</v>
      </c>
      <c r="AW10" s="133" t="s">
        <v>1282</v>
      </c>
      <c r="AX10" s="133" t="s">
        <v>1301</v>
      </c>
      <c r="AY10" s="133" t="s">
        <v>1318</v>
      </c>
      <c r="AZ10" s="133" t="s">
        <v>1337</v>
      </c>
      <c r="BA10" s="133" t="s">
        <v>1356</v>
      </c>
    </row>
    <row r="11" spans="1:53" x14ac:dyDescent="0.2">
      <c r="A11" s="135"/>
      <c r="B11" s="133" t="s">
        <v>249</v>
      </c>
      <c r="C11" s="133" t="s">
        <v>293</v>
      </c>
      <c r="D11" s="133" t="s">
        <v>312</v>
      </c>
      <c r="E11" s="133" t="s">
        <v>331</v>
      </c>
      <c r="F11" s="133" t="s">
        <v>350</v>
      </c>
      <c r="G11" s="133" t="s">
        <v>369</v>
      </c>
      <c r="H11" s="133" t="s">
        <v>388</v>
      </c>
      <c r="I11" s="133" t="s">
        <v>407</v>
      </c>
      <c r="J11" s="133" t="s">
        <v>426</v>
      </c>
      <c r="K11" s="133" t="s">
        <v>445</v>
      </c>
      <c r="L11" s="133" t="s">
        <v>464</v>
      </c>
      <c r="M11" s="133" t="s">
        <v>483</v>
      </c>
      <c r="N11" s="133" t="s">
        <v>502</v>
      </c>
      <c r="O11" s="133" t="s">
        <v>521</v>
      </c>
      <c r="P11" s="133" t="s">
        <v>540</v>
      </c>
      <c r="Q11" s="133" t="s">
        <v>559</v>
      </c>
      <c r="R11" s="133" t="s">
        <v>1392</v>
      </c>
      <c r="S11" s="133" t="s">
        <v>581</v>
      </c>
      <c r="T11" s="133" t="s">
        <v>600</v>
      </c>
      <c r="U11" s="133" t="s">
        <v>619</v>
      </c>
      <c r="V11" s="133" t="s">
        <v>638</v>
      </c>
      <c r="W11" s="133" t="s">
        <v>657</v>
      </c>
      <c r="X11" s="133" t="s">
        <v>676</v>
      </c>
      <c r="Y11" s="133" t="s">
        <v>695</v>
      </c>
      <c r="Z11" s="133" t="s">
        <v>714</v>
      </c>
      <c r="AA11" s="133" t="s">
        <v>733</v>
      </c>
      <c r="AB11" s="133" t="s">
        <v>857</v>
      </c>
      <c r="AC11" s="133" t="s">
        <v>903</v>
      </c>
      <c r="AD11" s="133" t="s">
        <v>922</v>
      </c>
      <c r="AE11" s="133" t="s">
        <v>941</v>
      </c>
      <c r="AF11" s="133" t="s">
        <v>960</v>
      </c>
      <c r="AG11" s="133" t="s">
        <v>979</v>
      </c>
      <c r="AH11" s="133" t="s">
        <v>998</v>
      </c>
      <c r="AI11" s="133" t="s">
        <v>1017</v>
      </c>
      <c r="AJ11" s="133" t="s">
        <v>1036</v>
      </c>
      <c r="AK11" s="133" t="s">
        <v>1055</v>
      </c>
      <c r="AL11" s="133" t="s">
        <v>1074</v>
      </c>
      <c r="AM11" s="133" t="s">
        <v>1093</v>
      </c>
      <c r="AN11" s="133" t="s">
        <v>1112</v>
      </c>
      <c r="AO11" s="133" t="s">
        <v>1131</v>
      </c>
      <c r="AP11" s="133" t="s">
        <v>1150</v>
      </c>
      <c r="AQ11" s="133" t="s">
        <v>1169</v>
      </c>
      <c r="AR11" s="133" t="s">
        <v>1188</v>
      </c>
      <c r="AS11" s="133" t="s">
        <v>1207</v>
      </c>
      <c r="AT11" s="133" t="s">
        <v>1226</v>
      </c>
      <c r="AU11" s="133" t="s">
        <v>1245</v>
      </c>
      <c r="AV11" s="133" t="s">
        <v>1264</v>
      </c>
      <c r="AW11" s="133" t="s">
        <v>1283</v>
      </c>
      <c r="AX11" s="133" t="s">
        <v>1302</v>
      </c>
      <c r="AY11" s="133" t="s">
        <v>1319</v>
      </c>
      <c r="AZ11" s="133" t="s">
        <v>1338</v>
      </c>
      <c r="BA11" s="133" t="s">
        <v>1357</v>
      </c>
    </row>
    <row r="12" spans="1:53" x14ac:dyDescent="0.2">
      <c r="A12" s="135"/>
      <c r="B12" s="133" t="s">
        <v>250</v>
      </c>
      <c r="C12" s="133" t="s">
        <v>294</v>
      </c>
      <c r="D12" s="133" t="s">
        <v>313</v>
      </c>
      <c r="E12" s="133" t="s">
        <v>332</v>
      </c>
      <c r="F12" s="133" t="s">
        <v>351</v>
      </c>
      <c r="G12" s="133" t="s">
        <v>370</v>
      </c>
      <c r="H12" s="133" t="s">
        <v>389</v>
      </c>
      <c r="I12" s="133" t="s">
        <v>408</v>
      </c>
      <c r="J12" s="133" t="s">
        <v>427</v>
      </c>
      <c r="K12" s="133" t="s">
        <v>446</v>
      </c>
      <c r="L12" s="133" t="s">
        <v>465</v>
      </c>
      <c r="M12" s="133" t="s">
        <v>484</v>
      </c>
      <c r="N12" s="133" t="s">
        <v>503</v>
      </c>
      <c r="O12" s="133" t="s">
        <v>522</v>
      </c>
      <c r="P12" s="133" t="s">
        <v>541</v>
      </c>
      <c r="Q12" s="133" t="s">
        <v>560</v>
      </c>
      <c r="R12" s="133" t="s">
        <v>1393</v>
      </c>
      <c r="S12" s="133" t="s">
        <v>582</v>
      </c>
      <c r="T12" s="133" t="s">
        <v>601</v>
      </c>
      <c r="U12" s="133" t="s">
        <v>620</v>
      </c>
      <c r="V12" s="133" t="s">
        <v>639</v>
      </c>
      <c r="W12" s="133" t="s">
        <v>658</v>
      </c>
      <c r="X12" s="133" t="s">
        <v>677</v>
      </c>
      <c r="Y12" s="133" t="s">
        <v>696</v>
      </c>
      <c r="Z12" s="133" t="s">
        <v>715</v>
      </c>
      <c r="AA12" s="133" t="s">
        <v>734</v>
      </c>
      <c r="AB12" s="133" t="s">
        <v>858</v>
      </c>
      <c r="AC12" s="133" t="s">
        <v>904</v>
      </c>
      <c r="AD12" s="133" t="s">
        <v>923</v>
      </c>
      <c r="AE12" s="133" t="s">
        <v>942</v>
      </c>
      <c r="AF12" s="133" t="s">
        <v>961</v>
      </c>
      <c r="AG12" s="133" t="s">
        <v>980</v>
      </c>
      <c r="AH12" s="133" t="s">
        <v>999</v>
      </c>
      <c r="AI12" s="133" t="s">
        <v>1018</v>
      </c>
      <c r="AJ12" s="133" t="s">
        <v>1037</v>
      </c>
      <c r="AK12" s="133" t="s">
        <v>1056</v>
      </c>
      <c r="AL12" s="133" t="s">
        <v>1075</v>
      </c>
      <c r="AM12" s="133" t="s">
        <v>1094</v>
      </c>
      <c r="AN12" s="133" t="s">
        <v>1113</v>
      </c>
      <c r="AO12" s="133" t="s">
        <v>1132</v>
      </c>
      <c r="AP12" s="133" t="s">
        <v>1151</v>
      </c>
      <c r="AQ12" s="133" t="s">
        <v>1170</v>
      </c>
      <c r="AR12" s="133" t="s">
        <v>1189</v>
      </c>
      <c r="AS12" s="133" t="s">
        <v>1208</v>
      </c>
      <c r="AT12" s="133" t="s">
        <v>1227</v>
      </c>
      <c r="AU12" s="133" t="s">
        <v>1246</v>
      </c>
      <c r="AV12" s="133" t="s">
        <v>1265</v>
      </c>
      <c r="AW12" s="133" t="s">
        <v>1284</v>
      </c>
      <c r="AX12" s="133" t="s">
        <v>1303</v>
      </c>
      <c r="AY12" s="133" t="s">
        <v>1320</v>
      </c>
      <c r="AZ12" s="133" t="s">
        <v>1339</v>
      </c>
      <c r="BA12" s="133" t="s">
        <v>1358</v>
      </c>
    </row>
    <row r="13" spans="1:53" x14ac:dyDescent="0.2">
      <c r="A13" s="135"/>
      <c r="B13" s="133" t="s">
        <v>251</v>
      </c>
      <c r="C13" s="133" t="s">
        <v>295</v>
      </c>
      <c r="D13" s="133" t="s">
        <v>314</v>
      </c>
      <c r="E13" s="133" t="s">
        <v>333</v>
      </c>
      <c r="F13" s="133" t="s">
        <v>352</v>
      </c>
      <c r="G13" s="133" t="s">
        <v>371</v>
      </c>
      <c r="H13" s="133" t="s">
        <v>390</v>
      </c>
      <c r="I13" s="133" t="s">
        <v>409</v>
      </c>
      <c r="J13" s="133" t="s">
        <v>428</v>
      </c>
      <c r="K13" s="133" t="s">
        <v>447</v>
      </c>
      <c r="L13" s="133" t="s">
        <v>466</v>
      </c>
      <c r="M13" s="133" t="s">
        <v>485</v>
      </c>
      <c r="N13" s="133" t="s">
        <v>504</v>
      </c>
      <c r="O13" s="133" t="s">
        <v>523</v>
      </c>
      <c r="P13" s="133" t="s">
        <v>542</v>
      </c>
      <c r="Q13" s="133" t="s">
        <v>561</v>
      </c>
      <c r="R13" s="133" t="s">
        <v>1394</v>
      </c>
      <c r="S13" s="133" t="s">
        <v>583</v>
      </c>
      <c r="T13" s="133" t="s">
        <v>602</v>
      </c>
      <c r="U13" s="133" t="s">
        <v>621</v>
      </c>
      <c r="V13" s="133" t="s">
        <v>640</v>
      </c>
      <c r="W13" s="133" t="s">
        <v>659</v>
      </c>
      <c r="X13" s="133" t="s">
        <v>678</v>
      </c>
      <c r="Y13" s="133" t="s">
        <v>697</v>
      </c>
      <c r="Z13" s="133" t="s">
        <v>716</v>
      </c>
      <c r="AA13" s="133" t="s">
        <v>735</v>
      </c>
      <c r="AB13" s="133" t="s">
        <v>859</v>
      </c>
      <c r="AC13" s="133" t="s">
        <v>905</v>
      </c>
      <c r="AD13" s="133" t="s">
        <v>924</v>
      </c>
      <c r="AE13" s="133" t="s">
        <v>943</v>
      </c>
      <c r="AF13" s="133" t="s">
        <v>962</v>
      </c>
      <c r="AG13" s="133" t="s">
        <v>981</v>
      </c>
      <c r="AH13" s="133" t="s">
        <v>1000</v>
      </c>
      <c r="AI13" s="133" t="s">
        <v>1019</v>
      </c>
      <c r="AJ13" s="133" t="s">
        <v>1038</v>
      </c>
      <c r="AK13" s="133" t="s">
        <v>1057</v>
      </c>
      <c r="AL13" s="133" t="s">
        <v>1076</v>
      </c>
      <c r="AM13" s="133" t="s">
        <v>1095</v>
      </c>
      <c r="AN13" s="133" t="s">
        <v>1114</v>
      </c>
      <c r="AO13" s="133" t="s">
        <v>1133</v>
      </c>
      <c r="AP13" s="133" t="s">
        <v>1152</v>
      </c>
      <c r="AQ13" s="133" t="s">
        <v>1171</v>
      </c>
      <c r="AR13" s="133" t="s">
        <v>1190</v>
      </c>
      <c r="AS13" s="133" t="s">
        <v>1209</v>
      </c>
      <c r="AT13" s="133" t="s">
        <v>1228</v>
      </c>
      <c r="AU13" s="133" t="s">
        <v>1247</v>
      </c>
      <c r="AV13" s="133" t="s">
        <v>1266</v>
      </c>
      <c r="AW13" s="133" t="s">
        <v>1285</v>
      </c>
      <c r="AX13" s="133" t="s">
        <v>1304</v>
      </c>
      <c r="AY13" s="133" t="s">
        <v>1321</v>
      </c>
      <c r="AZ13" s="133" t="s">
        <v>1340</v>
      </c>
      <c r="BA13" s="133" t="s">
        <v>1359</v>
      </c>
    </row>
    <row r="14" spans="1:53" x14ac:dyDescent="0.2">
      <c r="A14" s="135"/>
      <c r="B14" s="133" t="s">
        <v>252</v>
      </c>
      <c r="C14" s="133" t="s">
        <v>296</v>
      </c>
      <c r="D14" s="133" t="s">
        <v>315</v>
      </c>
      <c r="E14" s="133" t="s">
        <v>334</v>
      </c>
      <c r="F14" s="133" t="s">
        <v>353</v>
      </c>
      <c r="G14" s="133" t="s">
        <v>372</v>
      </c>
      <c r="H14" s="133" t="s">
        <v>391</v>
      </c>
      <c r="I14" s="133" t="s">
        <v>410</v>
      </c>
      <c r="J14" s="133" t="s">
        <v>429</v>
      </c>
      <c r="K14" s="133" t="s">
        <v>448</v>
      </c>
      <c r="L14" s="133" t="s">
        <v>467</v>
      </c>
      <c r="M14" s="133" t="s">
        <v>486</v>
      </c>
      <c r="N14" s="133" t="s">
        <v>505</v>
      </c>
      <c r="O14" s="133" t="s">
        <v>524</v>
      </c>
      <c r="P14" s="133" t="s">
        <v>543</v>
      </c>
      <c r="Q14" s="133" t="s">
        <v>562</v>
      </c>
      <c r="R14" s="133" t="s">
        <v>1395</v>
      </c>
      <c r="S14" s="133" t="s">
        <v>584</v>
      </c>
      <c r="T14" s="133" t="s">
        <v>603</v>
      </c>
      <c r="U14" s="133" t="s">
        <v>622</v>
      </c>
      <c r="V14" s="133" t="s">
        <v>641</v>
      </c>
      <c r="W14" s="133" t="s">
        <v>660</v>
      </c>
      <c r="X14" s="133" t="s">
        <v>679</v>
      </c>
      <c r="Y14" s="133" t="s">
        <v>698</v>
      </c>
      <c r="Z14" s="133" t="s">
        <v>717</v>
      </c>
      <c r="AA14" s="133" t="s">
        <v>736</v>
      </c>
      <c r="AB14" s="133" t="s">
        <v>860</v>
      </c>
      <c r="AC14" s="133" t="s">
        <v>906</v>
      </c>
      <c r="AD14" s="133" t="s">
        <v>925</v>
      </c>
      <c r="AE14" s="133" t="s">
        <v>944</v>
      </c>
      <c r="AF14" s="133" t="s">
        <v>963</v>
      </c>
      <c r="AG14" s="133" t="s">
        <v>982</v>
      </c>
      <c r="AH14" s="133" t="s">
        <v>1001</v>
      </c>
      <c r="AI14" s="133" t="s">
        <v>1020</v>
      </c>
      <c r="AJ14" s="133" t="s">
        <v>1039</v>
      </c>
      <c r="AK14" s="133" t="s">
        <v>1058</v>
      </c>
      <c r="AL14" s="133" t="s">
        <v>1077</v>
      </c>
      <c r="AM14" s="133" t="s">
        <v>1096</v>
      </c>
      <c r="AN14" s="133" t="s">
        <v>1115</v>
      </c>
      <c r="AO14" s="133" t="s">
        <v>1134</v>
      </c>
      <c r="AP14" s="133" t="s">
        <v>1153</v>
      </c>
      <c r="AQ14" s="133" t="s">
        <v>1172</v>
      </c>
      <c r="AR14" s="133" t="s">
        <v>1191</v>
      </c>
      <c r="AS14" s="133" t="s">
        <v>1210</v>
      </c>
      <c r="AT14" s="133" t="s">
        <v>1229</v>
      </c>
      <c r="AU14" s="133" t="s">
        <v>1248</v>
      </c>
      <c r="AV14" s="133" t="s">
        <v>1267</v>
      </c>
      <c r="AW14" s="133" t="s">
        <v>1286</v>
      </c>
      <c r="AX14" s="133" t="s">
        <v>1305</v>
      </c>
      <c r="AY14" s="133" t="s">
        <v>1322</v>
      </c>
      <c r="AZ14" s="133" t="s">
        <v>1341</v>
      </c>
      <c r="BA14" s="133" t="s">
        <v>1360</v>
      </c>
    </row>
    <row r="15" spans="1:53" x14ac:dyDescent="0.2">
      <c r="A15" s="135"/>
      <c r="B15" s="133" t="s">
        <v>253</v>
      </c>
      <c r="C15" s="133" t="s">
        <v>297</v>
      </c>
      <c r="D15" s="133" t="s">
        <v>316</v>
      </c>
      <c r="E15" s="133" t="s">
        <v>335</v>
      </c>
      <c r="F15" s="133" t="s">
        <v>354</v>
      </c>
      <c r="G15" s="133" t="s">
        <v>373</v>
      </c>
      <c r="H15" s="133" t="s">
        <v>392</v>
      </c>
      <c r="I15" s="133" t="s">
        <v>411</v>
      </c>
      <c r="J15" s="133" t="s">
        <v>430</v>
      </c>
      <c r="K15" s="133" t="s">
        <v>449</v>
      </c>
      <c r="L15" s="133" t="s">
        <v>468</v>
      </c>
      <c r="M15" s="133" t="s">
        <v>487</v>
      </c>
      <c r="N15" s="133" t="s">
        <v>506</v>
      </c>
      <c r="O15" s="133" t="s">
        <v>525</v>
      </c>
      <c r="P15" s="133" t="s">
        <v>544</v>
      </c>
      <c r="Q15" s="133" t="s">
        <v>563</v>
      </c>
      <c r="R15" s="133" t="s">
        <v>1396</v>
      </c>
      <c r="S15" s="133" t="s">
        <v>585</v>
      </c>
      <c r="T15" s="133" t="s">
        <v>604</v>
      </c>
      <c r="U15" s="133" t="s">
        <v>623</v>
      </c>
      <c r="V15" s="133" t="s">
        <v>642</v>
      </c>
      <c r="W15" s="133" t="s">
        <v>661</v>
      </c>
      <c r="X15" s="133" t="s">
        <v>680</v>
      </c>
      <c r="Y15" s="133" t="s">
        <v>699</v>
      </c>
      <c r="Z15" s="133" t="s">
        <v>718</v>
      </c>
      <c r="AA15" s="133" t="s">
        <v>737</v>
      </c>
      <c r="AB15" s="133" t="s">
        <v>861</v>
      </c>
      <c r="AC15" s="133" t="s">
        <v>907</v>
      </c>
      <c r="AD15" s="133" t="s">
        <v>926</v>
      </c>
      <c r="AE15" s="133" t="s">
        <v>945</v>
      </c>
      <c r="AF15" s="133" t="s">
        <v>964</v>
      </c>
      <c r="AG15" s="133" t="s">
        <v>983</v>
      </c>
      <c r="AH15" s="133" t="s">
        <v>1002</v>
      </c>
      <c r="AI15" s="133" t="s">
        <v>1021</v>
      </c>
      <c r="AJ15" s="133" t="s">
        <v>1040</v>
      </c>
      <c r="AK15" s="133" t="s">
        <v>1059</v>
      </c>
      <c r="AL15" s="133" t="s">
        <v>1078</v>
      </c>
      <c r="AM15" s="133" t="s">
        <v>1097</v>
      </c>
      <c r="AN15" s="133" t="s">
        <v>1116</v>
      </c>
      <c r="AO15" s="133" t="s">
        <v>1135</v>
      </c>
      <c r="AP15" s="133" t="s">
        <v>1154</v>
      </c>
      <c r="AQ15" s="133" t="s">
        <v>1173</v>
      </c>
      <c r="AR15" s="133" t="s">
        <v>1192</v>
      </c>
      <c r="AS15" s="133" t="s">
        <v>1211</v>
      </c>
      <c r="AT15" s="133" t="s">
        <v>1230</v>
      </c>
      <c r="AU15" s="133" t="s">
        <v>1249</v>
      </c>
      <c r="AV15" s="133" t="s">
        <v>1268</v>
      </c>
      <c r="AW15" s="133" t="s">
        <v>1287</v>
      </c>
      <c r="AX15" s="133" t="s">
        <v>1306</v>
      </c>
      <c r="AY15" s="133" t="s">
        <v>1323</v>
      </c>
      <c r="AZ15" s="133" t="s">
        <v>1342</v>
      </c>
      <c r="BA15" s="133" t="s">
        <v>1361</v>
      </c>
    </row>
    <row r="16" spans="1:53" x14ac:dyDescent="0.2">
      <c r="A16" s="135"/>
      <c r="B16" s="133" t="s">
        <v>254</v>
      </c>
      <c r="C16" s="133" t="s">
        <v>298</v>
      </c>
      <c r="D16" s="133" t="s">
        <v>317</v>
      </c>
      <c r="E16" s="133" t="s">
        <v>336</v>
      </c>
      <c r="F16" s="133" t="s">
        <v>355</v>
      </c>
      <c r="G16" s="133" t="s">
        <v>374</v>
      </c>
      <c r="H16" s="133" t="s">
        <v>393</v>
      </c>
      <c r="I16" s="133" t="s">
        <v>412</v>
      </c>
      <c r="J16" s="133" t="s">
        <v>431</v>
      </c>
      <c r="K16" s="133" t="s">
        <v>450</v>
      </c>
      <c r="L16" s="133" t="s">
        <v>469</v>
      </c>
      <c r="M16" s="133" t="s">
        <v>488</v>
      </c>
      <c r="N16" s="133" t="s">
        <v>507</v>
      </c>
      <c r="O16" s="133" t="s">
        <v>526</v>
      </c>
      <c r="P16" s="133" t="s">
        <v>545</v>
      </c>
      <c r="Q16" s="133" t="s">
        <v>564</v>
      </c>
      <c r="R16" s="133" t="s">
        <v>1397</v>
      </c>
      <c r="S16" s="133" t="s">
        <v>586</v>
      </c>
      <c r="T16" s="133" t="s">
        <v>605</v>
      </c>
      <c r="U16" s="133" t="s">
        <v>624</v>
      </c>
      <c r="V16" s="133" t="s">
        <v>643</v>
      </c>
      <c r="W16" s="133" t="s">
        <v>662</v>
      </c>
      <c r="X16" s="133" t="s">
        <v>681</v>
      </c>
      <c r="Y16" s="133" t="s">
        <v>700</v>
      </c>
      <c r="Z16" s="133" t="s">
        <v>719</v>
      </c>
      <c r="AA16" s="133" t="s">
        <v>738</v>
      </c>
      <c r="AB16" s="133" t="s">
        <v>862</v>
      </c>
      <c r="AC16" s="133" t="s">
        <v>908</v>
      </c>
      <c r="AD16" s="133" t="s">
        <v>927</v>
      </c>
      <c r="AE16" s="133" t="s">
        <v>946</v>
      </c>
      <c r="AF16" s="133" t="s">
        <v>965</v>
      </c>
      <c r="AG16" s="133" t="s">
        <v>984</v>
      </c>
      <c r="AH16" s="133" t="s">
        <v>1003</v>
      </c>
      <c r="AI16" s="133" t="s">
        <v>1022</v>
      </c>
      <c r="AJ16" s="133" t="s">
        <v>1041</v>
      </c>
      <c r="AK16" s="133" t="s">
        <v>1060</v>
      </c>
      <c r="AL16" s="133" t="s">
        <v>1079</v>
      </c>
      <c r="AM16" s="133" t="s">
        <v>1098</v>
      </c>
      <c r="AN16" s="133" t="s">
        <v>1117</v>
      </c>
      <c r="AO16" s="133" t="s">
        <v>1136</v>
      </c>
      <c r="AP16" s="133" t="s">
        <v>1155</v>
      </c>
      <c r="AQ16" s="133" t="s">
        <v>1174</v>
      </c>
      <c r="AR16" s="133" t="s">
        <v>1193</v>
      </c>
      <c r="AS16" s="133" t="s">
        <v>1212</v>
      </c>
      <c r="AT16" s="133" t="s">
        <v>1231</v>
      </c>
      <c r="AU16" s="133" t="s">
        <v>1250</v>
      </c>
      <c r="AV16" s="133" t="s">
        <v>1269</v>
      </c>
      <c r="AW16" s="133" t="s">
        <v>1288</v>
      </c>
      <c r="AX16" s="133" t="s">
        <v>1307</v>
      </c>
      <c r="AY16" s="133" t="s">
        <v>1324</v>
      </c>
      <c r="AZ16" s="133" t="s">
        <v>1343</v>
      </c>
      <c r="BA16" s="133" t="s">
        <v>1362</v>
      </c>
    </row>
    <row r="17" spans="1:53" x14ac:dyDescent="0.2">
      <c r="A17" s="135"/>
      <c r="B17" s="133" t="s">
        <v>255</v>
      </c>
      <c r="C17" s="133" t="s">
        <v>299</v>
      </c>
      <c r="D17" s="133" t="s">
        <v>318</v>
      </c>
      <c r="E17" s="133" t="s">
        <v>337</v>
      </c>
      <c r="F17" s="133" t="s">
        <v>356</v>
      </c>
      <c r="G17" s="133" t="s">
        <v>375</v>
      </c>
      <c r="H17" s="133" t="s">
        <v>394</v>
      </c>
      <c r="I17" s="133" t="s">
        <v>413</v>
      </c>
      <c r="J17" s="133" t="s">
        <v>432</v>
      </c>
      <c r="K17" s="133" t="s">
        <v>451</v>
      </c>
      <c r="L17" s="133" t="s">
        <v>470</v>
      </c>
      <c r="M17" s="133" t="s">
        <v>489</v>
      </c>
      <c r="N17" s="133" t="s">
        <v>508</v>
      </c>
      <c r="O17" s="133" t="s">
        <v>527</v>
      </c>
      <c r="P17" s="133" t="s">
        <v>546</v>
      </c>
      <c r="Q17" s="133" t="s">
        <v>565</v>
      </c>
      <c r="R17" s="133" t="s">
        <v>1398</v>
      </c>
      <c r="S17" s="133" t="s">
        <v>587</v>
      </c>
      <c r="T17" s="133" t="s">
        <v>606</v>
      </c>
      <c r="U17" s="133" t="s">
        <v>625</v>
      </c>
      <c r="V17" s="133" t="s">
        <v>644</v>
      </c>
      <c r="W17" s="133" t="s">
        <v>663</v>
      </c>
      <c r="X17" s="133" t="s">
        <v>682</v>
      </c>
      <c r="Y17" s="133" t="s">
        <v>701</v>
      </c>
      <c r="Z17" s="133" t="s">
        <v>720</v>
      </c>
      <c r="AA17" s="133" t="s">
        <v>739</v>
      </c>
      <c r="AB17" s="133" t="s">
        <v>863</v>
      </c>
      <c r="AC17" s="133" t="s">
        <v>909</v>
      </c>
      <c r="AD17" s="133" t="s">
        <v>928</v>
      </c>
      <c r="AE17" s="133" t="s">
        <v>947</v>
      </c>
      <c r="AF17" s="133" t="s">
        <v>966</v>
      </c>
      <c r="AG17" s="133" t="s">
        <v>985</v>
      </c>
      <c r="AH17" s="133" t="s">
        <v>1004</v>
      </c>
      <c r="AI17" s="133" t="s">
        <v>1023</v>
      </c>
      <c r="AJ17" s="133" t="s">
        <v>1042</v>
      </c>
      <c r="AK17" s="133" t="s">
        <v>1061</v>
      </c>
      <c r="AL17" s="133" t="s">
        <v>1080</v>
      </c>
      <c r="AM17" s="133" t="s">
        <v>1099</v>
      </c>
      <c r="AN17" s="133" t="s">
        <v>1118</v>
      </c>
      <c r="AO17" s="133" t="s">
        <v>1137</v>
      </c>
      <c r="AP17" s="133" t="s">
        <v>1156</v>
      </c>
      <c r="AQ17" s="133" t="s">
        <v>1175</v>
      </c>
      <c r="AR17" s="133" t="s">
        <v>1194</v>
      </c>
      <c r="AS17" s="133" t="s">
        <v>1213</v>
      </c>
      <c r="AT17" s="133" t="s">
        <v>1232</v>
      </c>
      <c r="AU17" s="133" t="s">
        <v>1251</v>
      </c>
      <c r="AV17" s="133" t="s">
        <v>1270</v>
      </c>
      <c r="AW17" s="133" t="s">
        <v>1289</v>
      </c>
      <c r="AX17" s="133" t="s">
        <v>1308</v>
      </c>
      <c r="AY17" s="133" t="s">
        <v>1325</v>
      </c>
      <c r="AZ17" s="133" t="s">
        <v>1344</v>
      </c>
      <c r="BA17" s="133" t="s">
        <v>1363</v>
      </c>
    </row>
    <row r="18" spans="1:53" x14ac:dyDescent="0.2">
      <c r="A18" s="135"/>
      <c r="B18" s="133" t="s">
        <v>256</v>
      </c>
      <c r="C18" s="133" t="s">
        <v>300</v>
      </c>
      <c r="D18" s="133" t="s">
        <v>319</v>
      </c>
      <c r="E18" s="133" t="s">
        <v>338</v>
      </c>
      <c r="F18" s="133" t="s">
        <v>357</v>
      </c>
      <c r="G18" s="133" t="s">
        <v>376</v>
      </c>
      <c r="H18" s="133" t="s">
        <v>395</v>
      </c>
      <c r="I18" s="133" t="s">
        <v>414</v>
      </c>
      <c r="J18" s="133" t="s">
        <v>433</v>
      </c>
      <c r="K18" s="133" t="s">
        <v>452</v>
      </c>
      <c r="L18" s="133" t="s">
        <v>471</v>
      </c>
      <c r="M18" s="133" t="s">
        <v>490</v>
      </c>
      <c r="N18" s="133" t="s">
        <v>509</v>
      </c>
      <c r="O18" s="133" t="s">
        <v>528</v>
      </c>
      <c r="P18" s="133" t="s">
        <v>547</v>
      </c>
      <c r="Q18" s="133" t="s">
        <v>566</v>
      </c>
      <c r="R18" s="133" t="s">
        <v>1399</v>
      </c>
      <c r="S18" s="133" t="s">
        <v>588</v>
      </c>
      <c r="T18" s="133" t="s">
        <v>607</v>
      </c>
      <c r="U18" s="133" t="s">
        <v>626</v>
      </c>
      <c r="V18" s="133" t="s">
        <v>645</v>
      </c>
      <c r="W18" s="133" t="s">
        <v>664</v>
      </c>
      <c r="X18" s="133" t="s">
        <v>683</v>
      </c>
      <c r="Y18" s="133" t="s">
        <v>702</v>
      </c>
      <c r="Z18" s="133" t="s">
        <v>721</v>
      </c>
      <c r="AA18" s="133" t="s">
        <v>740</v>
      </c>
      <c r="AB18" s="133" t="s">
        <v>864</v>
      </c>
      <c r="AC18" s="133" t="s">
        <v>910</v>
      </c>
      <c r="AD18" s="133" t="s">
        <v>929</v>
      </c>
      <c r="AE18" s="133" t="s">
        <v>948</v>
      </c>
      <c r="AF18" s="133" t="s">
        <v>967</v>
      </c>
      <c r="AG18" s="133" t="s">
        <v>986</v>
      </c>
      <c r="AH18" s="133" t="s">
        <v>1005</v>
      </c>
      <c r="AI18" s="133" t="s">
        <v>1024</v>
      </c>
      <c r="AJ18" s="133" t="s">
        <v>1043</v>
      </c>
      <c r="AK18" s="133" t="s">
        <v>1062</v>
      </c>
      <c r="AL18" s="133" t="s">
        <v>1081</v>
      </c>
      <c r="AM18" s="133" t="s">
        <v>1100</v>
      </c>
      <c r="AN18" s="133" t="s">
        <v>1119</v>
      </c>
      <c r="AO18" s="133" t="s">
        <v>1138</v>
      </c>
      <c r="AP18" s="133" t="s">
        <v>1157</v>
      </c>
      <c r="AQ18" s="133" t="s">
        <v>1176</v>
      </c>
      <c r="AR18" s="133" t="s">
        <v>1195</v>
      </c>
      <c r="AS18" s="133" t="s">
        <v>1214</v>
      </c>
      <c r="AT18" s="133" t="s">
        <v>1233</v>
      </c>
      <c r="AU18" s="133" t="s">
        <v>1252</v>
      </c>
      <c r="AV18" s="133" t="s">
        <v>1271</v>
      </c>
      <c r="AW18" s="133" t="s">
        <v>1290</v>
      </c>
      <c r="AX18" s="133" t="s">
        <v>1309</v>
      </c>
      <c r="AY18" s="133" t="s">
        <v>1326</v>
      </c>
      <c r="AZ18" s="133" t="s">
        <v>1345</v>
      </c>
      <c r="BA18" s="133" t="s">
        <v>1364</v>
      </c>
    </row>
    <row r="19" spans="1:53" x14ac:dyDescent="0.2">
      <c r="A19" s="135"/>
      <c r="B19" s="133" t="s">
        <v>257</v>
      </c>
      <c r="C19" s="133" t="s">
        <v>301</v>
      </c>
      <c r="D19" s="133" t="s">
        <v>320</v>
      </c>
      <c r="E19" s="133" t="s">
        <v>339</v>
      </c>
      <c r="F19" s="133" t="s">
        <v>358</v>
      </c>
      <c r="G19" s="133" t="s">
        <v>377</v>
      </c>
      <c r="H19" s="133" t="s">
        <v>396</v>
      </c>
      <c r="I19" s="133" t="s">
        <v>415</v>
      </c>
      <c r="J19" s="133" t="s">
        <v>434</v>
      </c>
      <c r="K19" s="133" t="s">
        <v>453</v>
      </c>
      <c r="L19" s="133" t="s">
        <v>472</v>
      </c>
      <c r="M19" s="133" t="s">
        <v>491</v>
      </c>
      <c r="N19" s="133" t="s">
        <v>510</v>
      </c>
      <c r="O19" s="133" t="s">
        <v>529</v>
      </c>
      <c r="P19" s="133" t="s">
        <v>548</v>
      </c>
      <c r="Q19" s="133" t="s">
        <v>567</v>
      </c>
      <c r="R19" s="133" t="s">
        <v>1400</v>
      </c>
      <c r="S19" s="133" t="s">
        <v>589</v>
      </c>
      <c r="T19" s="133" t="s">
        <v>608</v>
      </c>
      <c r="U19" s="133" t="s">
        <v>627</v>
      </c>
      <c r="V19" s="133" t="s">
        <v>646</v>
      </c>
      <c r="W19" s="133" t="s">
        <v>665</v>
      </c>
      <c r="X19" s="133" t="s">
        <v>684</v>
      </c>
      <c r="Y19" s="133" t="s">
        <v>703</v>
      </c>
      <c r="Z19" s="133" t="s">
        <v>722</v>
      </c>
      <c r="AA19" s="133" t="s">
        <v>741</v>
      </c>
      <c r="AB19" s="133" t="s">
        <v>865</v>
      </c>
      <c r="AC19" s="133" t="s">
        <v>911</v>
      </c>
      <c r="AD19" s="133" t="s">
        <v>930</v>
      </c>
      <c r="AE19" s="133" t="s">
        <v>949</v>
      </c>
      <c r="AF19" s="133" t="s">
        <v>968</v>
      </c>
      <c r="AG19" s="133" t="s">
        <v>987</v>
      </c>
      <c r="AH19" s="133" t="s">
        <v>1006</v>
      </c>
      <c r="AI19" s="133" t="s">
        <v>1025</v>
      </c>
      <c r="AJ19" s="133" t="s">
        <v>1044</v>
      </c>
      <c r="AK19" s="133" t="s">
        <v>1063</v>
      </c>
      <c r="AL19" s="133" t="s">
        <v>1082</v>
      </c>
      <c r="AM19" s="133" t="s">
        <v>1101</v>
      </c>
      <c r="AN19" s="133" t="s">
        <v>1120</v>
      </c>
      <c r="AO19" s="133" t="s">
        <v>1139</v>
      </c>
      <c r="AP19" s="133" t="s">
        <v>1158</v>
      </c>
      <c r="AQ19" s="133" t="s">
        <v>1177</v>
      </c>
      <c r="AR19" s="133" t="s">
        <v>1196</v>
      </c>
      <c r="AS19" s="133" t="s">
        <v>1215</v>
      </c>
      <c r="AT19" s="133" t="s">
        <v>1234</v>
      </c>
      <c r="AU19" s="133" t="s">
        <v>1253</v>
      </c>
      <c r="AV19" s="133" t="s">
        <v>1272</v>
      </c>
      <c r="AW19" s="133" t="s">
        <v>1291</v>
      </c>
      <c r="AX19" s="133" t="s">
        <v>1310</v>
      </c>
      <c r="AY19" s="133" t="s">
        <v>1327</v>
      </c>
      <c r="AZ19" s="133" t="s">
        <v>1346</v>
      </c>
      <c r="BA19" s="133" t="s">
        <v>1365</v>
      </c>
    </row>
    <row r="20" spans="1:53" x14ac:dyDescent="0.2">
      <c r="A20" s="135"/>
      <c r="B20" s="133" t="s">
        <v>258</v>
      </c>
      <c r="C20" s="133" t="s">
        <v>302</v>
      </c>
      <c r="D20" s="133" t="s">
        <v>321</v>
      </c>
      <c r="E20" s="133" t="s">
        <v>340</v>
      </c>
      <c r="F20" s="133" t="s">
        <v>359</v>
      </c>
      <c r="G20" s="133" t="s">
        <v>378</v>
      </c>
      <c r="H20" s="133" t="s">
        <v>397</v>
      </c>
      <c r="I20" s="133" t="s">
        <v>416</v>
      </c>
      <c r="J20" s="133" t="s">
        <v>435</v>
      </c>
      <c r="K20" s="133" t="s">
        <v>454</v>
      </c>
      <c r="L20" s="133" t="s">
        <v>473</v>
      </c>
      <c r="M20" s="133" t="s">
        <v>492</v>
      </c>
      <c r="N20" s="133" t="s">
        <v>511</v>
      </c>
      <c r="O20" s="133" t="s">
        <v>530</v>
      </c>
      <c r="P20" s="133" t="s">
        <v>549</v>
      </c>
      <c r="Q20" s="133" t="s">
        <v>568</v>
      </c>
      <c r="R20" s="133" t="s">
        <v>1401</v>
      </c>
      <c r="S20" s="133" t="s">
        <v>590</v>
      </c>
      <c r="T20" s="133" t="s">
        <v>609</v>
      </c>
      <c r="U20" s="133" t="s">
        <v>628</v>
      </c>
      <c r="V20" s="133" t="s">
        <v>647</v>
      </c>
      <c r="W20" s="133" t="s">
        <v>666</v>
      </c>
      <c r="X20" s="133" t="s">
        <v>685</v>
      </c>
      <c r="Y20" s="133" t="s">
        <v>704</v>
      </c>
      <c r="Z20" s="133" t="s">
        <v>723</v>
      </c>
      <c r="AA20" s="133" t="s">
        <v>742</v>
      </c>
      <c r="AB20" s="133" t="s">
        <v>866</v>
      </c>
      <c r="AC20" s="133" t="s">
        <v>912</v>
      </c>
      <c r="AD20" s="133" t="s">
        <v>931</v>
      </c>
      <c r="AE20" s="133" t="s">
        <v>950</v>
      </c>
      <c r="AF20" s="133" t="s">
        <v>969</v>
      </c>
      <c r="AG20" s="133" t="s">
        <v>988</v>
      </c>
      <c r="AH20" s="133" t="s">
        <v>1007</v>
      </c>
      <c r="AI20" s="133" t="s">
        <v>1026</v>
      </c>
      <c r="AJ20" s="133" t="s">
        <v>1045</v>
      </c>
      <c r="AK20" s="133" t="s">
        <v>1064</v>
      </c>
      <c r="AL20" s="133" t="s">
        <v>1083</v>
      </c>
      <c r="AM20" s="133" t="s">
        <v>1102</v>
      </c>
      <c r="AN20" s="133" t="s">
        <v>1121</v>
      </c>
      <c r="AO20" s="133" t="s">
        <v>1140</v>
      </c>
      <c r="AP20" s="133" t="s">
        <v>1159</v>
      </c>
      <c r="AQ20" s="133" t="s">
        <v>1178</v>
      </c>
      <c r="AR20" s="133" t="s">
        <v>1197</v>
      </c>
      <c r="AS20" s="133" t="s">
        <v>1216</v>
      </c>
      <c r="AT20" s="133" t="s">
        <v>1235</v>
      </c>
      <c r="AU20" s="133" t="s">
        <v>1254</v>
      </c>
      <c r="AV20" s="133" t="s">
        <v>1273</v>
      </c>
      <c r="AW20" s="133" t="s">
        <v>1292</v>
      </c>
      <c r="AX20" s="133" t="s">
        <v>1311</v>
      </c>
      <c r="AY20" s="133" t="s">
        <v>1328</v>
      </c>
      <c r="AZ20" s="133" t="s">
        <v>1347</v>
      </c>
      <c r="BA20" s="133" t="s">
        <v>1366</v>
      </c>
    </row>
    <row r="21" spans="1:53" x14ac:dyDescent="0.2">
      <c r="A21" s="135"/>
      <c r="B21" s="133" t="s">
        <v>259</v>
      </c>
      <c r="C21" s="133" t="s">
        <v>303</v>
      </c>
      <c r="D21" s="133" t="s">
        <v>322</v>
      </c>
      <c r="E21" s="133" t="s">
        <v>341</v>
      </c>
      <c r="F21" s="133" t="s">
        <v>360</v>
      </c>
      <c r="G21" s="133" t="s">
        <v>379</v>
      </c>
      <c r="H21" s="133" t="s">
        <v>398</v>
      </c>
      <c r="I21" s="133" t="s">
        <v>417</v>
      </c>
      <c r="J21" s="133" t="s">
        <v>436</v>
      </c>
      <c r="K21" s="133" t="s">
        <v>455</v>
      </c>
      <c r="L21" s="133" t="s">
        <v>474</v>
      </c>
      <c r="M21" s="133" t="s">
        <v>493</v>
      </c>
      <c r="N21" s="133" t="s">
        <v>512</v>
      </c>
      <c r="O21" s="133" t="s">
        <v>531</v>
      </c>
      <c r="P21" s="133" t="s">
        <v>550</v>
      </c>
      <c r="Q21" s="133" t="s">
        <v>569</v>
      </c>
      <c r="R21" s="133" t="s">
        <v>1402</v>
      </c>
      <c r="S21" s="133" t="s">
        <v>591</v>
      </c>
      <c r="T21" s="133" t="s">
        <v>610</v>
      </c>
      <c r="U21" s="133" t="s">
        <v>629</v>
      </c>
      <c r="V21" s="133" t="s">
        <v>648</v>
      </c>
      <c r="W21" s="133" t="s">
        <v>667</v>
      </c>
      <c r="X21" s="133" t="s">
        <v>686</v>
      </c>
      <c r="Y21" s="133" t="s">
        <v>705</v>
      </c>
      <c r="Z21" s="133" t="s">
        <v>724</v>
      </c>
      <c r="AA21" s="133" t="s">
        <v>743</v>
      </c>
      <c r="AB21" s="133" t="s">
        <v>867</v>
      </c>
      <c r="AC21" s="133" t="s">
        <v>913</v>
      </c>
      <c r="AD21" s="133" t="s">
        <v>932</v>
      </c>
      <c r="AE21" s="133" t="s">
        <v>951</v>
      </c>
      <c r="AF21" s="133" t="s">
        <v>970</v>
      </c>
      <c r="AG21" s="133" t="s">
        <v>989</v>
      </c>
      <c r="AH21" s="133" t="s">
        <v>1008</v>
      </c>
      <c r="AI21" s="133" t="s">
        <v>1027</v>
      </c>
      <c r="AJ21" s="133" t="s">
        <v>1046</v>
      </c>
      <c r="AK21" s="133" t="s">
        <v>1065</v>
      </c>
      <c r="AL21" s="133" t="s">
        <v>1084</v>
      </c>
      <c r="AM21" s="133" t="s">
        <v>1103</v>
      </c>
      <c r="AN21" s="133" t="s">
        <v>1122</v>
      </c>
      <c r="AO21" s="133" t="s">
        <v>1141</v>
      </c>
      <c r="AP21" s="133" t="s">
        <v>1160</v>
      </c>
      <c r="AQ21" s="133" t="s">
        <v>1179</v>
      </c>
      <c r="AR21" s="133" t="s">
        <v>1198</v>
      </c>
      <c r="AS21" s="133" t="s">
        <v>1217</v>
      </c>
      <c r="AT21" s="133" t="s">
        <v>1236</v>
      </c>
      <c r="AU21" s="133" t="s">
        <v>1255</v>
      </c>
      <c r="AV21" s="133" t="s">
        <v>1274</v>
      </c>
      <c r="AW21" s="133" t="s">
        <v>1293</v>
      </c>
      <c r="AX21" s="133" t="s">
        <v>1312</v>
      </c>
      <c r="AY21" s="133" t="s">
        <v>1329</v>
      </c>
      <c r="AZ21" s="133" t="s">
        <v>1348</v>
      </c>
      <c r="BA21" s="133" t="s">
        <v>1367</v>
      </c>
    </row>
    <row r="22" spans="1:53" x14ac:dyDescent="0.2">
      <c r="A22" s="135"/>
      <c r="B22" s="133" t="s">
        <v>260</v>
      </c>
      <c r="C22" s="133" t="s">
        <v>304</v>
      </c>
      <c r="D22" s="133" t="s">
        <v>323</v>
      </c>
      <c r="E22" s="133" t="s">
        <v>342</v>
      </c>
      <c r="F22" s="133" t="s">
        <v>361</v>
      </c>
      <c r="G22" s="133" t="s">
        <v>380</v>
      </c>
      <c r="H22" s="133" t="s">
        <v>399</v>
      </c>
      <c r="I22" s="133" t="s">
        <v>418</v>
      </c>
      <c r="J22" s="133" t="s">
        <v>437</v>
      </c>
      <c r="K22" s="133" t="s">
        <v>456</v>
      </c>
      <c r="L22" s="133" t="s">
        <v>475</v>
      </c>
      <c r="M22" s="133" t="s">
        <v>494</v>
      </c>
      <c r="N22" s="133" t="s">
        <v>513</v>
      </c>
      <c r="O22" s="133" t="s">
        <v>532</v>
      </c>
      <c r="P22" s="133" t="s">
        <v>551</v>
      </c>
      <c r="Q22" s="133" t="s">
        <v>570</v>
      </c>
      <c r="R22" s="133" t="s">
        <v>1403</v>
      </c>
      <c r="S22" s="133" t="s">
        <v>592</v>
      </c>
      <c r="T22" s="133" t="s">
        <v>611</v>
      </c>
      <c r="U22" s="133" t="s">
        <v>630</v>
      </c>
      <c r="V22" s="133" t="s">
        <v>649</v>
      </c>
      <c r="W22" s="133" t="s">
        <v>668</v>
      </c>
      <c r="X22" s="133" t="s">
        <v>687</v>
      </c>
      <c r="Y22" s="133" t="s">
        <v>706</v>
      </c>
      <c r="Z22" s="133" t="s">
        <v>725</v>
      </c>
      <c r="AA22" s="133" t="s">
        <v>744</v>
      </c>
      <c r="AB22" s="133" t="s">
        <v>868</v>
      </c>
      <c r="AC22" s="133" t="s">
        <v>914</v>
      </c>
      <c r="AD22" s="133" t="s">
        <v>933</v>
      </c>
      <c r="AE22" s="133" t="s">
        <v>952</v>
      </c>
      <c r="AF22" s="133" t="s">
        <v>971</v>
      </c>
      <c r="AG22" s="133" t="s">
        <v>990</v>
      </c>
      <c r="AH22" s="133" t="s">
        <v>1009</v>
      </c>
      <c r="AI22" s="133" t="s">
        <v>1028</v>
      </c>
      <c r="AJ22" s="133" t="s">
        <v>1047</v>
      </c>
      <c r="AK22" s="133" t="s">
        <v>1066</v>
      </c>
      <c r="AL22" s="133" t="s">
        <v>1085</v>
      </c>
      <c r="AM22" s="133" t="s">
        <v>1104</v>
      </c>
      <c r="AN22" s="133" t="s">
        <v>1123</v>
      </c>
      <c r="AO22" s="133" t="s">
        <v>1142</v>
      </c>
      <c r="AP22" s="133" t="s">
        <v>1161</v>
      </c>
      <c r="AQ22" s="133" t="s">
        <v>1180</v>
      </c>
      <c r="AR22" s="133" t="s">
        <v>1199</v>
      </c>
      <c r="AS22" s="133" t="s">
        <v>1218</v>
      </c>
      <c r="AT22" s="133" t="s">
        <v>1237</v>
      </c>
      <c r="AU22" s="133" t="s">
        <v>1256</v>
      </c>
      <c r="AV22" s="133" t="s">
        <v>1275</v>
      </c>
      <c r="AW22" s="133" t="s">
        <v>1294</v>
      </c>
      <c r="AX22" s="133" t="s">
        <v>1313</v>
      </c>
      <c r="AY22" s="133" t="s">
        <v>1330</v>
      </c>
      <c r="AZ22" s="133" t="s">
        <v>1349</v>
      </c>
      <c r="BA22" s="133" t="s">
        <v>1368</v>
      </c>
    </row>
    <row r="23" spans="1:53" x14ac:dyDescent="0.2">
      <c r="B23" s="133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3"/>
      <c r="AA23" s="133"/>
    </row>
    <row r="24" spans="1:53" x14ac:dyDescent="0.2"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</row>
    <row r="25" spans="1:53" ht="62.2" x14ac:dyDescent="0.2">
      <c r="B25" s="133"/>
      <c r="C25" s="133"/>
      <c r="D25" s="133"/>
      <c r="E25" s="133"/>
      <c r="F25" s="133"/>
      <c r="G25" s="268" t="s">
        <v>768</v>
      </c>
      <c r="H25" s="133"/>
      <c r="I25" s="133"/>
      <c r="J25" s="133"/>
      <c r="K25" s="268" t="s">
        <v>769</v>
      </c>
      <c r="L25" s="133"/>
      <c r="M25" s="133"/>
      <c r="N25" s="133"/>
      <c r="O25" s="133"/>
      <c r="P25" s="268" t="s">
        <v>776</v>
      </c>
      <c r="Q25" s="133"/>
      <c r="R25" s="133"/>
      <c r="S25" s="133"/>
      <c r="T25" s="268" t="s">
        <v>789</v>
      </c>
      <c r="U25" s="133"/>
      <c r="V25" s="133"/>
      <c r="W25" s="133"/>
      <c r="X25" s="133"/>
      <c r="Y25" s="133"/>
      <c r="Z25" s="268" t="s">
        <v>790</v>
      </c>
      <c r="AA25" s="133"/>
      <c r="AB25" s="133"/>
      <c r="AC25" s="133"/>
      <c r="AD25" s="133"/>
    </row>
    <row r="26" spans="1:53" x14ac:dyDescent="0.2">
      <c r="B26" s="133"/>
      <c r="C26" s="133"/>
      <c r="D26" s="133"/>
      <c r="E26" s="133"/>
      <c r="F26" s="133"/>
      <c r="H26" s="269" t="s">
        <v>18</v>
      </c>
      <c r="I26" s="270" t="s">
        <v>234</v>
      </c>
      <c r="J26" s="133"/>
      <c r="K26" s="133"/>
      <c r="L26" s="269" t="s">
        <v>3</v>
      </c>
      <c r="M26" s="269" t="s">
        <v>770</v>
      </c>
      <c r="N26" s="269" t="s">
        <v>238</v>
      </c>
      <c r="O26" s="133"/>
      <c r="P26" s="133"/>
      <c r="Q26" s="269" t="s">
        <v>777</v>
      </c>
      <c r="R26" s="269" t="s">
        <v>770</v>
      </c>
      <c r="S26" s="133"/>
      <c r="T26" s="295" t="s">
        <v>12</v>
      </c>
      <c r="U26" s="269" t="s">
        <v>745</v>
      </c>
      <c r="V26" s="269" t="s">
        <v>793</v>
      </c>
      <c r="W26" s="269" t="s">
        <v>794</v>
      </c>
      <c r="X26" s="269" t="s">
        <v>777</v>
      </c>
      <c r="Y26" s="133"/>
      <c r="Z26" s="133"/>
      <c r="AA26" s="133"/>
      <c r="AB26" s="133"/>
    </row>
    <row r="27" spans="1:53" x14ac:dyDescent="0.2">
      <c r="B27" s="133"/>
      <c r="C27" s="133"/>
      <c r="D27" s="133"/>
      <c r="E27" s="133"/>
      <c r="F27" s="133"/>
      <c r="G27" s="133"/>
      <c r="H27" t="str">
        <f>Worksheet!O15</f>
        <v>VX Intimate Sing BO, Ivory</v>
      </c>
      <c r="I27" s="260">
        <f>IF(Worksheet!$D15&gt;0,((Worksheet!$H15+12)*Worksheet!$F15/1296),0)</f>
        <v>5.4748263888888893</v>
      </c>
      <c r="J27" s="133"/>
      <c r="K27" s="133"/>
      <c r="L27" s="275" t="str">
        <f>Worksheet!E15</f>
        <v>Tube 2.375</v>
      </c>
      <c r="M27" s="226">
        <f>IF(Worksheet!D15&gt;0,Worksheet!$F15-1.375,0)</f>
        <v>45</v>
      </c>
      <c r="N27" s="226">
        <f>IF(M27&gt;0,M27-2.5,0)</f>
        <v>42.5</v>
      </c>
      <c r="O27" s="133"/>
      <c r="P27" s="133"/>
      <c r="Q27" s="223">
        <f>Worksheet!K15</f>
        <v>0</v>
      </c>
      <c r="R27" s="226">
        <f>Worksheet!$F15</f>
        <v>46.375</v>
      </c>
      <c r="T27" s="223">
        <f>Worksheet!D15</f>
        <v>1</v>
      </c>
      <c r="U27">
        <f>IF(OR(Worksheet!$M15="M",Worksheet!$N15="M"),1,0)</f>
        <v>1</v>
      </c>
      <c r="V27">
        <f>IF(OR(Worksheet!$M15="C",Worksheet!$N15="C"),1,0)</f>
        <v>0</v>
      </c>
      <c r="W27">
        <f>IF(OR(Worksheet!$M15="I",Worksheet!$N15="I"),1,0)</f>
        <v>1</v>
      </c>
      <c r="X27" s="133">
        <f>Worksheet!$K15</f>
        <v>0</v>
      </c>
      <c r="Y27" s="133"/>
      <c r="Z27" s="133"/>
      <c r="AA27" s="133"/>
      <c r="AB27" s="133"/>
    </row>
    <row r="28" spans="1:53" x14ac:dyDescent="0.2">
      <c r="B28" s="133"/>
      <c r="C28" s="133"/>
      <c r="D28" s="133"/>
      <c r="E28" s="133"/>
      <c r="F28" s="133"/>
      <c r="G28" s="133"/>
      <c r="H28" t="str">
        <f>Worksheet!O16</f>
        <v>VX Intimate Sing BO, Ivory</v>
      </c>
      <c r="I28" s="260">
        <f>IF(Worksheet!$D16&gt;0,((Worksheet!$H16+12)*Worksheet!$F16/1296),0)</f>
        <v>5.489583333333333</v>
      </c>
      <c r="J28" s="133"/>
      <c r="K28" s="133"/>
      <c r="L28" s="275" t="str">
        <f>Worksheet!E16</f>
        <v>Tube 2.375</v>
      </c>
      <c r="M28" s="226">
        <f>IF(Worksheet!D16&gt;0,Worksheet!$F16-1.375,0)</f>
        <v>45.125</v>
      </c>
      <c r="N28" s="226">
        <f t="shared" ref="N28:N46" si="0">IF(M28&gt;0,M28-2.5,0)</f>
        <v>42.625</v>
      </c>
      <c r="O28" s="133"/>
      <c r="P28" s="133"/>
      <c r="Q28" s="223">
        <f>Worksheet!K16</f>
        <v>0</v>
      </c>
      <c r="R28" s="226">
        <f>Worksheet!$F16</f>
        <v>46.5</v>
      </c>
      <c r="T28" s="223">
        <f>Worksheet!D16</f>
        <v>1</v>
      </c>
      <c r="U28">
        <f>IF(OR(Worksheet!$M16="M",Worksheet!$N16="M"),1,0)</f>
        <v>1</v>
      </c>
      <c r="V28">
        <f>IF(OR(Worksheet!$M16="C",Worksheet!$N16="C"),1,0)</f>
        <v>0</v>
      </c>
      <c r="W28">
        <f>IF(OR(Worksheet!$M16="I",Worksheet!$N16="I"),1,0)</f>
        <v>1</v>
      </c>
      <c r="X28" s="133">
        <f>Worksheet!$K16</f>
        <v>0</v>
      </c>
      <c r="Y28" s="133"/>
      <c r="Z28" s="133"/>
      <c r="AA28" s="133"/>
      <c r="AB28" s="133"/>
      <c r="AC28" s="133"/>
      <c r="AD28" s="133"/>
    </row>
    <row r="29" spans="1:53" x14ac:dyDescent="0.2">
      <c r="B29" s="133"/>
      <c r="C29" s="133"/>
      <c r="D29" s="133"/>
      <c r="E29" s="133"/>
      <c r="F29" s="133"/>
      <c r="G29" s="133"/>
      <c r="H29" t="str">
        <f>Worksheet!O17</f>
        <v>VX Intimate Sing BO, Ivory</v>
      </c>
      <c r="I29" s="260">
        <f>IF(Worksheet!$D17&gt;0,((Worksheet!$H17+12)*Worksheet!$F17/1296),0)</f>
        <v>4.25</v>
      </c>
      <c r="J29" s="133"/>
      <c r="K29" s="133"/>
      <c r="L29" s="275" t="str">
        <f>Worksheet!E17</f>
        <v>Tube 2.375</v>
      </c>
      <c r="M29" s="226">
        <f>IF(Worksheet!D17&gt;0,Worksheet!$F17-1.375,0)</f>
        <v>34.625</v>
      </c>
      <c r="N29" s="226">
        <f t="shared" si="0"/>
        <v>32.125</v>
      </c>
      <c r="O29" s="133"/>
      <c r="P29" s="133"/>
      <c r="Q29" s="223">
        <f>Worksheet!K17</f>
        <v>0</v>
      </c>
      <c r="R29" s="226">
        <f>Worksheet!$F17</f>
        <v>36</v>
      </c>
      <c r="T29" s="223">
        <f>Worksheet!D17</f>
        <v>1</v>
      </c>
      <c r="U29">
        <f>IF(OR(Worksheet!$M17="M",Worksheet!$N17="M"),1,0)</f>
        <v>1</v>
      </c>
      <c r="V29">
        <f>IF(OR(Worksheet!$M17="C",Worksheet!$N17="C"),1,0)</f>
        <v>0</v>
      </c>
      <c r="W29">
        <f>IF(OR(Worksheet!$M17="I",Worksheet!$N17="I"),1,0)</f>
        <v>1</v>
      </c>
      <c r="X29" s="133">
        <f>Worksheet!$K17</f>
        <v>0</v>
      </c>
      <c r="Y29" s="133"/>
      <c r="Z29" s="133"/>
      <c r="AA29" s="133"/>
      <c r="AB29" s="133"/>
      <c r="AC29" s="133"/>
      <c r="AD29" s="133"/>
    </row>
    <row r="30" spans="1:53" x14ac:dyDescent="0.2">
      <c r="A30" s="133" t="s">
        <v>212</v>
      </c>
      <c r="B30" s="187" t="s">
        <v>213</v>
      </c>
      <c r="C30" s="368"/>
      <c r="D30" s="133" t="s">
        <v>23</v>
      </c>
      <c r="E30" s="187" t="s">
        <v>232</v>
      </c>
      <c r="F30" s="133"/>
      <c r="G30" s="133"/>
      <c r="H30" t="str">
        <f>Worksheet!O18</f>
        <v>VX Intimate Sing BO, Ivory</v>
      </c>
      <c r="I30" s="260">
        <f>IF(Worksheet!$D18&gt;0,((Worksheet!$H18+12)*Worksheet!$F18/1296),0)</f>
        <v>4.25</v>
      </c>
      <c r="J30" s="133"/>
      <c r="K30" s="133"/>
      <c r="L30" s="275" t="str">
        <f>Worksheet!E18</f>
        <v>Tube 2.375</v>
      </c>
      <c r="M30" s="226">
        <f>IF(Worksheet!D18&gt;0,Worksheet!$F18-1.375,0)</f>
        <v>34.625</v>
      </c>
      <c r="N30" s="226">
        <f t="shared" si="0"/>
        <v>32.125</v>
      </c>
      <c r="O30" s="133"/>
      <c r="P30" s="133"/>
      <c r="Q30" s="223">
        <f>Worksheet!K18</f>
        <v>0</v>
      </c>
      <c r="R30" s="226">
        <f>Worksheet!$F18</f>
        <v>36</v>
      </c>
      <c r="T30" s="223">
        <f>Worksheet!D18</f>
        <v>1</v>
      </c>
      <c r="U30">
        <f>IF(OR(Worksheet!$M18="M",Worksheet!$N18="M"),1,0)</f>
        <v>1</v>
      </c>
      <c r="V30">
        <f>IF(OR(Worksheet!$M18="C",Worksheet!$N18="C"),1,0)</f>
        <v>0</v>
      </c>
      <c r="W30">
        <f>IF(OR(Worksheet!$M18="I",Worksheet!$N18="I"),1,0)</f>
        <v>1</v>
      </c>
      <c r="X30" s="133">
        <f>Worksheet!$K18</f>
        <v>0</v>
      </c>
      <c r="Y30" s="133"/>
      <c r="Z30" s="133"/>
      <c r="AA30" s="133"/>
      <c r="AB30" s="133"/>
      <c r="AC30" s="133"/>
      <c r="AD30" s="133"/>
    </row>
    <row r="31" spans="1:53" x14ac:dyDescent="0.2">
      <c r="B31" s="369" t="s">
        <v>749</v>
      </c>
      <c r="C31" s="133"/>
      <c r="D31" s="133"/>
      <c r="E31" s="146" t="s">
        <v>233</v>
      </c>
      <c r="F31" s="133"/>
      <c r="G31" s="133"/>
      <c r="H31" t="str">
        <f>Worksheet!O19</f>
        <v>VX Intimate Sing BO, Ivory</v>
      </c>
      <c r="I31" s="260">
        <f>IF(Worksheet!$D19&gt;0,((Worksheet!$H19+12)*Worksheet!$F19/1296),0)</f>
        <v>5.4748263888888893</v>
      </c>
      <c r="J31" s="133"/>
      <c r="K31" s="133"/>
      <c r="L31" s="275" t="str">
        <f>Worksheet!E19</f>
        <v>Tube 2.375</v>
      </c>
      <c r="M31" s="226">
        <f>IF(Worksheet!D19&gt;0,Worksheet!$F19-1.375,0)</f>
        <v>45</v>
      </c>
      <c r="N31" s="226">
        <f t="shared" si="0"/>
        <v>42.5</v>
      </c>
      <c r="O31" s="133"/>
      <c r="P31" s="133"/>
      <c r="Q31" s="223">
        <f>Worksheet!K19</f>
        <v>0</v>
      </c>
      <c r="R31" s="226">
        <f>Worksheet!$F19</f>
        <v>46.375</v>
      </c>
      <c r="T31" s="223">
        <f>Worksheet!D19</f>
        <v>1</v>
      </c>
      <c r="U31">
        <f>IF(OR(Worksheet!$M19="M",Worksheet!$N19="M"),1,0)</f>
        <v>1</v>
      </c>
      <c r="V31">
        <f>IF(OR(Worksheet!$M19="C",Worksheet!$N19="C"),1,0)</f>
        <v>0</v>
      </c>
      <c r="W31">
        <f>IF(OR(Worksheet!$M19="I",Worksheet!$N19="I"),1,0)</f>
        <v>1</v>
      </c>
      <c r="X31" s="133">
        <f>Worksheet!$K19</f>
        <v>0</v>
      </c>
      <c r="Y31" s="133"/>
      <c r="Z31" s="133"/>
      <c r="AA31" s="133"/>
      <c r="AB31" s="133"/>
      <c r="AC31" s="133"/>
      <c r="AD31" s="133"/>
    </row>
    <row r="32" spans="1:53" x14ac:dyDescent="0.2">
      <c r="B32" s="369" t="s">
        <v>827</v>
      </c>
      <c r="C32" s="133"/>
      <c r="D32" s="133"/>
      <c r="E32" s="133"/>
      <c r="F32" s="133"/>
      <c r="G32" s="133"/>
      <c r="H32" t="str">
        <f>Worksheet!O20</f>
        <v>VX Intimate Sing BO, Ivory</v>
      </c>
      <c r="I32" s="260">
        <f>IF(Worksheet!$D20&gt;0,((Worksheet!$H20+12)*Worksheet!$F20/1296),0)</f>
        <v>5.4600694444444446</v>
      </c>
      <c r="J32" s="133"/>
      <c r="K32" s="133"/>
      <c r="L32" s="275" t="str">
        <f>Worksheet!E20</f>
        <v>Tube 2.375</v>
      </c>
      <c r="M32" s="226">
        <f>IF(Worksheet!D20&gt;0,Worksheet!$F20-1.375,0)</f>
        <v>44.875</v>
      </c>
      <c r="N32" s="226">
        <f t="shared" si="0"/>
        <v>42.375</v>
      </c>
      <c r="O32" s="133"/>
      <c r="P32" s="133"/>
      <c r="Q32" s="223">
        <f>Worksheet!K20</f>
        <v>0</v>
      </c>
      <c r="R32" s="226">
        <f>Worksheet!$F20</f>
        <v>46.25</v>
      </c>
      <c r="T32" s="223">
        <f>Worksheet!D20</f>
        <v>1</v>
      </c>
      <c r="U32">
        <f>IF(OR(Worksheet!$M20="M",Worksheet!$N20="M"),1,0)</f>
        <v>1</v>
      </c>
      <c r="V32">
        <f>IF(OR(Worksheet!$M20="C",Worksheet!$N20="C"),1,0)</f>
        <v>0</v>
      </c>
      <c r="W32">
        <f>IF(OR(Worksheet!$M20="I",Worksheet!$N20="I"),1,0)</f>
        <v>1</v>
      </c>
      <c r="X32" s="133">
        <f>Worksheet!$K20</f>
        <v>0</v>
      </c>
      <c r="Y32" s="133"/>
      <c r="Z32" s="133"/>
      <c r="AA32" s="133"/>
      <c r="AB32" s="133"/>
      <c r="AC32" s="133"/>
      <c r="AD32" s="133"/>
    </row>
    <row r="33" spans="1:30" x14ac:dyDescent="0.2">
      <c r="B33" s="145"/>
      <c r="C33" s="133"/>
      <c r="D33" s="133"/>
      <c r="E33" s="133"/>
      <c r="F33" s="133"/>
      <c r="G33" s="133"/>
      <c r="H33">
        <f>Worksheet!O21</f>
        <v>0</v>
      </c>
      <c r="I33" s="260">
        <f>IF(Worksheet!$D21&gt;0,((Worksheet!$H21+12)*Worksheet!$F21/1296),0)</f>
        <v>0</v>
      </c>
      <c r="J33" s="133"/>
      <c r="K33" s="133"/>
      <c r="L33" s="275">
        <f>Worksheet!E21</f>
        <v>0</v>
      </c>
      <c r="M33" s="226">
        <f>IF(Worksheet!D21&gt;0,Worksheet!$F21-1.375,0)</f>
        <v>0</v>
      </c>
      <c r="N33" s="226">
        <f t="shared" si="0"/>
        <v>0</v>
      </c>
      <c r="O33" s="133"/>
      <c r="P33" s="133"/>
      <c r="Q33" s="223">
        <f>Worksheet!K21</f>
        <v>0</v>
      </c>
      <c r="R33" s="226">
        <f>Worksheet!$F21</f>
        <v>0</v>
      </c>
      <c r="T33" s="223">
        <f>Worksheet!D21</f>
        <v>0</v>
      </c>
      <c r="U33">
        <f>IF(OR(Worksheet!$M21="M",Worksheet!$N21="M"),1,0)</f>
        <v>0</v>
      </c>
      <c r="V33">
        <f>IF(OR(Worksheet!$M21="C",Worksheet!$N21="C"),1,0)</f>
        <v>0</v>
      </c>
      <c r="W33">
        <f>IF(OR(Worksheet!$M21="I",Worksheet!$N21="I"),1,0)</f>
        <v>0</v>
      </c>
      <c r="X33" s="133">
        <f>Worksheet!$K21</f>
        <v>0</v>
      </c>
      <c r="Y33" s="133"/>
      <c r="Z33" s="133"/>
      <c r="AA33" s="133"/>
      <c r="AB33" s="133"/>
      <c r="AC33" s="133"/>
      <c r="AD33" s="133"/>
    </row>
    <row r="34" spans="1:30" x14ac:dyDescent="0.2">
      <c r="B34" s="145"/>
      <c r="C34" s="133"/>
      <c r="D34" s="133"/>
      <c r="E34" s="133"/>
      <c r="F34" s="133"/>
      <c r="G34" s="133"/>
      <c r="H34">
        <f>Worksheet!O22</f>
        <v>0</v>
      </c>
      <c r="I34" s="260">
        <f>IF(Worksheet!$D22&gt;0,((Worksheet!$H22+12)*Worksheet!$F22/1296),0)</f>
        <v>0</v>
      </c>
      <c r="J34" s="133"/>
      <c r="K34" s="133"/>
      <c r="L34" s="275">
        <f>Worksheet!E22</f>
        <v>0</v>
      </c>
      <c r="M34" s="226">
        <f>IF(Worksheet!D22&gt;0,Worksheet!$F22-1.375,0)</f>
        <v>0</v>
      </c>
      <c r="N34" s="226">
        <f t="shared" si="0"/>
        <v>0</v>
      </c>
      <c r="O34" s="133"/>
      <c r="P34" s="133"/>
      <c r="Q34" s="223">
        <f>Worksheet!K22</f>
        <v>0</v>
      </c>
      <c r="R34" s="226">
        <f>Worksheet!$F22</f>
        <v>0</v>
      </c>
      <c r="T34" s="223">
        <f>Worksheet!D22</f>
        <v>0</v>
      </c>
      <c r="U34">
        <f>IF(OR(Worksheet!$M22="M",Worksheet!$N22="M"),1,0)</f>
        <v>0</v>
      </c>
      <c r="V34">
        <f>IF(OR(Worksheet!$M22="C",Worksheet!$N22="C"),1,0)</f>
        <v>0</v>
      </c>
      <c r="W34">
        <f>IF(OR(Worksheet!$M22="I",Worksheet!$N22="I"),1,0)</f>
        <v>0</v>
      </c>
      <c r="X34" s="133">
        <f>Worksheet!$K22</f>
        <v>0</v>
      </c>
      <c r="Y34" s="133"/>
      <c r="Z34" s="133"/>
      <c r="AA34" s="133"/>
      <c r="AB34" s="133"/>
      <c r="AC34" s="133"/>
      <c r="AD34" s="133"/>
    </row>
    <row r="35" spans="1:30" x14ac:dyDescent="0.2">
      <c r="B35" s="146"/>
      <c r="C35" s="133"/>
      <c r="D35" s="133"/>
      <c r="E35" s="133"/>
      <c r="F35" s="133"/>
      <c r="G35" s="133"/>
      <c r="H35">
        <f>Worksheet!O23</f>
        <v>0</v>
      </c>
      <c r="I35" s="260">
        <f>IF(Worksheet!$D23&gt;0,((Worksheet!$H23+12)*Worksheet!$F23/1296),0)</f>
        <v>0</v>
      </c>
      <c r="J35" s="133"/>
      <c r="K35" s="133"/>
      <c r="L35" s="275">
        <f>Worksheet!E23</f>
        <v>0</v>
      </c>
      <c r="M35" s="226">
        <f>IF(Worksheet!D23&gt;0,Worksheet!$F23-1.375,0)</f>
        <v>0</v>
      </c>
      <c r="N35" s="226">
        <f t="shared" si="0"/>
        <v>0</v>
      </c>
      <c r="O35" s="133"/>
      <c r="P35" s="133"/>
      <c r="Q35" s="223">
        <f>Worksheet!K23</f>
        <v>0</v>
      </c>
      <c r="R35" s="226">
        <f>Worksheet!$F23</f>
        <v>0</v>
      </c>
      <c r="T35" s="223">
        <f>Worksheet!D23</f>
        <v>0</v>
      </c>
      <c r="U35">
        <f>IF(OR(Worksheet!$M23="M",Worksheet!$N23="M"),1,0)</f>
        <v>0</v>
      </c>
      <c r="V35">
        <f>IF(OR(Worksheet!$M23="C",Worksheet!$N23="C"),1,0)</f>
        <v>0</v>
      </c>
      <c r="W35">
        <f>IF(OR(Worksheet!$M23="I",Worksheet!$N23="I"),1,0)</f>
        <v>0</v>
      </c>
      <c r="X35" s="133">
        <f>Worksheet!$K23</f>
        <v>0</v>
      </c>
      <c r="Y35" s="133"/>
      <c r="Z35" s="133"/>
      <c r="AA35" s="133"/>
      <c r="AB35" s="133"/>
      <c r="AC35" s="133"/>
      <c r="AD35" s="133"/>
    </row>
    <row r="36" spans="1:30" x14ac:dyDescent="0.2">
      <c r="C36" s="133"/>
      <c r="D36" s="133"/>
      <c r="E36" s="133"/>
      <c r="F36" s="133"/>
      <c r="G36" s="133"/>
      <c r="H36">
        <f>Worksheet!O24</f>
        <v>0</v>
      </c>
      <c r="I36" s="260">
        <f>IF(Worksheet!$D24&gt;0,((Worksheet!$H24+12)*Worksheet!$F24/1296),0)</f>
        <v>0</v>
      </c>
      <c r="J36" s="133"/>
      <c r="K36" s="133"/>
      <c r="L36" s="275">
        <f>Worksheet!E24</f>
        <v>0</v>
      </c>
      <c r="M36" s="226">
        <f>IF(Worksheet!D24&gt;0,Worksheet!$F24-1.375,0)</f>
        <v>0</v>
      </c>
      <c r="N36" s="226">
        <f t="shared" si="0"/>
        <v>0</v>
      </c>
      <c r="O36" s="133"/>
      <c r="P36" s="133"/>
      <c r="Q36" s="223">
        <f>Worksheet!K24</f>
        <v>0</v>
      </c>
      <c r="R36" s="226">
        <f>Worksheet!$F24</f>
        <v>0</v>
      </c>
      <c r="T36" s="223">
        <f>Worksheet!D24</f>
        <v>0</v>
      </c>
      <c r="U36">
        <f>IF(OR(Worksheet!$M24="M",Worksheet!$N24="M"),1,0)</f>
        <v>0</v>
      </c>
      <c r="V36">
        <f>IF(OR(Worksheet!$M24="C",Worksheet!$N24="C"),1,0)</f>
        <v>0</v>
      </c>
      <c r="W36">
        <f>IF(OR(Worksheet!$M24="I",Worksheet!$N24="I"),1,0)</f>
        <v>0</v>
      </c>
      <c r="X36" s="133">
        <f>Worksheet!$K24</f>
        <v>0</v>
      </c>
      <c r="Y36" s="133"/>
      <c r="Z36" s="133"/>
      <c r="AA36" s="133"/>
      <c r="AB36" s="133"/>
      <c r="AC36" s="133"/>
      <c r="AD36" s="133"/>
    </row>
    <row r="37" spans="1:30" x14ac:dyDescent="0.2">
      <c r="A37" s="133" t="s">
        <v>1371</v>
      </c>
      <c r="B37" s="187" t="s">
        <v>746</v>
      </c>
      <c r="C37" s="133"/>
      <c r="D37" s="133" t="s">
        <v>231</v>
      </c>
      <c r="E37" s="187" t="s">
        <v>230</v>
      </c>
      <c r="F37" s="133"/>
      <c r="G37" s="133"/>
      <c r="H37">
        <f>Worksheet!O25</f>
        <v>0</v>
      </c>
      <c r="I37" s="260">
        <f>IF(Worksheet!$D25&gt;0,((Worksheet!$H25+12)*Worksheet!$F25/1296),0)</f>
        <v>0</v>
      </c>
      <c r="J37" s="133"/>
      <c r="K37" s="133"/>
      <c r="L37" s="275">
        <f>Worksheet!E25</f>
        <v>0</v>
      </c>
      <c r="M37" s="226">
        <f>IF(Worksheet!D25&gt;0,Worksheet!$F25-1.375,0)</f>
        <v>0</v>
      </c>
      <c r="N37" s="226">
        <f t="shared" si="0"/>
        <v>0</v>
      </c>
      <c r="O37" s="133"/>
      <c r="P37" s="133"/>
      <c r="Q37" s="223">
        <f>Worksheet!K25</f>
        <v>0</v>
      </c>
      <c r="R37" s="226">
        <f>Worksheet!$F25</f>
        <v>0</v>
      </c>
      <c r="T37" s="223">
        <f>Worksheet!D25</f>
        <v>0</v>
      </c>
      <c r="U37">
        <f>IF(OR(Worksheet!$M25="M",Worksheet!$N25="M"),1,0)</f>
        <v>0</v>
      </c>
      <c r="V37">
        <f>IF(OR(Worksheet!$M25="C",Worksheet!$N25="C"),1,0)</f>
        <v>0</v>
      </c>
      <c r="W37">
        <f>IF(OR(Worksheet!$M25="I",Worksheet!$N25="I"),1,0)</f>
        <v>0</v>
      </c>
      <c r="X37" s="133">
        <f>Worksheet!$K25</f>
        <v>0</v>
      </c>
      <c r="Y37" s="133"/>
      <c r="Z37" s="133"/>
      <c r="AA37" s="133"/>
      <c r="AB37" s="133"/>
      <c r="AC37" s="133"/>
      <c r="AD37" s="133"/>
    </row>
    <row r="38" spans="1:30" x14ac:dyDescent="0.2">
      <c r="B38" s="145" t="s">
        <v>747</v>
      </c>
      <c r="C38" s="133"/>
      <c r="D38" s="133"/>
      <c r="E38" s="146" t="s">
        <v>211</v>
      </c>
      <c r="F38" s="133"/>
      <c r="H38">
        <f>Worksheet!O26</f>
        <v>0</v>
      </c>
      <c r="I38" s="260">
        <f>IF(Worksheet!$D26&gt;0,((Worksheet!$H26+12)*Worksheet!$F26/1296),0)</f>
        <v>0</v>
      </c>
      <c r="J38" s="133"/>
      <c r="K38" s="133"/>
      <c r="L38" s="275">
        <f>Worksheet!E26</f>
        <v>0</v>
      </c>
      <c r="M38" s="226">
        <f>IF(Worksheet!D26&gt;0,Worksheet!$F26-1.375,0)</f>
        <v>0</v>
      </c>
      <c r="N38" s="226">
        <f t="shared" si="0"/>
        <v>0</v>
      </c>
      <c r="O38" s="133"/>
      <c r="P38" s="133"/>
      <c r="Q38" s="223">
        <f>Worksheet!K26</f>
        <v>0</v>
      </c>
      <c r="R38" s="226">
        <f>Worksheet!$F26</f>
        <v>0</v>
      </c>
      <c r="T38" s="223">
        <f>Worksheet!D26</f>
        <v>0</v>
      </c>
      <c r="U38">
        <f>IF(OR(Worksheet!$M26="M",Worksheet!$N26="M"),1,0)</f>
        <v>0</v>
      </c>
      <c r="V38">
        <f>IF(OR(Worksheet!$M26="C",Worksheet!$N26="C"),1,0)</f>
        <v>0</v>
      </c>
      <c r="W38">
        <f>IF(OR(Worksheet!$M26="I",Worksheet!$N26="I"),1,0)</f>
        <v>0</v>
      </c>
      <c r="X38" s="133">
        <f>Worksheet!$K26</f>
        <v>0</v>
      </c>
      <c r="Y38" s="133"/>
      <c r="Z38" s="133"/>
      <c r="AA38" s="133"/>
      <c r="AB38" s="133"/>
      <c r="AC38" s="133"/>
      <c r="AD38" s="133"/>
    </row>
    <row r="39" spans="1:30" x14ac:dyDescent="0.2">
      <c r="B39" s="145" t="s">
        <v>748</v>
      </c>
      <c r="C39" s="133"/>
      <c r="D39" s="133"/>
      <c r="E39" s="133"/>
      <c r="F39" s="133"/>
      <c r="H39">
        <f>Worksheet!O27</f>
        <v>0</v>
      </c>
      <c r="I39" s="260">
        <f>IF(Worksheet!$D27&gt;0,((Worksheet!$H27+12)*Worksheet!$F27/1296),0)</f>
        <v>0</v>
      </c>
      <c r="J39" s="133"/>
      <c r="K39" s="133"/>
      <c r="L39" s="275">
        <f>Worksheet!E27</f>
        <v>0</v>
      </c>
      <c r="M39" s="226">
        <f>IF(Worksheet!D27&gt;0,Worksheet!$F27-1.375,0)</f>
        <v>0</v>
      </c>
      <c r="N39" s="226">
        <f t="shared" si="0"/>
        <v>0</v>
      </c>
      <c r="O39" s="133"/>
      <c r="P39" s="133"/>
      <c r="Q39" s="223">
        <f>Worksheet!K27</f>
        <v>0</v>
      </c>
      <c r="R39" s="226">
        <f>Worksheet!$F27</f>
        <v>0</v>
      </c>
      <c r="T39" s="223">
        <f>Worksheet!D27</f>
        <v>0</v>
      </c>
      <c r="U39">
        <f>IF(OR(Worksheet!$M27="M",Worksheet!$N27="M"),1,0)</f>
        <v>0</v>
      </c>
      <c r="V39">
        <f>IF(OR(Worksheet!$M27="C",Worksheet!$N27="C"),1,0)</f>
        <v>0</v>
      </c>
      <c r="W39">
        <f>IF(OR(Worksheet!$M27="I",Worksheet!$N27="I"),1,0)</f>
        <v>0</v>
      </c>
      <c r="X39" s="133">
        <f>Worksheet!$K27</f>
        <v>0</v>
      </c>
      <c r="Y39" s="133"/>
      <c r="Z39" s="133"/>
      <c r="AA39" s="133"/>
      <c r="AB39" s="133"/>
      <c r="AC39" s="133"/>
      <c r="AD39" s="133"/>
    </row>
    <row r="40" spans="1:30" x14ac:dyDescent="0.2">
      <c r="B40" s="145" t="s">
        <v>1379</v>
      </c>
      <c r="C40" s="133"/>
      <c r="D40" s="133"/>
      <c r="E40" s="133"/>
      <c r="F40" s="133"/>
      <c r="H40">
        <f>Worksheet!O28</f>
        <v>0</v>
      </c>
      <c r="I40" s="260">
        <f>IF(Worksheet!$D28&gt;0,((Worksheet!$H28+12)*Worksheet!$F28/1296),0)</f>
        <v>0</v>
      </c>
      <c r="J40" s="133"/>
      <c r="K40" s="133"/>
      <c r="L40" s="275">
        <f>Worksheet!E28</f>
        <v>0</v>
      </c>
      <c r="M40" s="226">
        <f>IF(Worksheet!D28&gt;0,Worksheet!$F28-1.375,0)</f>
        <v>0</v>
      </c>
      <c r="N40" s="226">
        <f t="shared" si="0"/>
        <v>0</v>
      </c>
      <c r="O40" s="133"/>
      <c r="P40" s="133"/>
      <c r="Q40" s="223">
        <f>Worksheet!K28</f>
        <v>0</v>
      </c>
      <c r="R40" s="226">
        <f>Worksheet!$F28</f>
        <v>0</v>
      </c>
      <c r="T40" s="223">
        <f>Worksheet!D28</f>
        <v>0</v>
      </c>
      <c r="U40">
        <f>IF(OR(Worksheet!$M28="M",Worksheet!$N28="M"),1,0)</f>
        <v>0</v>
      </c>
      <c r="V40">
        <f>IF(OR(Worksheet!$M28="C",Worksheet!$N28="C"),1,0)</f>
        <v>0</v>
      </c>
      <c r="W40">
        <f>IF(OR(Worksheet!$M28="I",Worksheet!$N28="I"),1,0)</f>
        <v>0</v>
      </c>
      <c r="X40" s="133">
        <f>Worksheet!$K28</f>
        <v>0</v>
      </c>
      <c r="Z40" s="133"/>
      <c r="AA40" s="133"/>
      <c r="AB40" s="133"/>
      <c r="AC40" s="133"/>
      <c r="AD40" s="133"/>
    </row>
    <row r="41" spans="1:30" x14ac:dyDescent="0.2">
      <c r="B41" s="146" t="s">
        <v>1372</v>
      </c>
      <c r="C41" s="133"/>
      <c r="D41" s="133"/>
      <c r="E41" s="133"/>
      <c r="F41" s="133"/>
      <c r="H41">
        <f>Worksheet!O29</f>
        <v>0</v>
      </c>
      <c r="I41" s="260">
        <f>IF(Worksheet!$D29&gt;0,((Worksheet!$H29+12)*Worksheet!$F29/1296),0)</f>
        <v>0</v>
      </c>
      <c r="J41" s="133"/>
      <c r="K41" s="133"/>
      <c r="L41" s="275">
        <f>Worksheet!E29</f>
        <v>0</v>
      </c>
      <c r="M41" s="226">
        <f>IF(Worksheet!D29&gt;0,Worksheet!$F29-1.375,0)</f>
        <v>0</v>
      </c>
      <c r="N41" s="226">
        <f t="shared" si="0"/>
        <v>0</v>
      </c>
      <c r="O41" s="133"/>
      <c r="P41" s="133"/>
      <c r="Q41" s="223">
        <f>Worksheet!K29</f>
        <v>0</v>
      </c>
      <c r="R41" s="226">
        <f>Worksheet!$F29</f>
        <v>0</v>
      </c>
      <c r="T41" s="223">
        <f>Worksheet!D29</f>
        <v>0</v>
      </c>
      <c r="U41">
        <f>IF(OR(Worksheet!$M29="M",Worksheet!$N29="M"),1,0)</f>
        <v>0</v>
      </c>
      <c r="V41">
        <f>IF(OR(Worksheet!$M29="C",Worksheet!$N29="C"),1,0)</f>
        <v>0</v>
      </c>
      <c r="W41">
        <f>IF(OR(Worksheet!$M29="I",Worksheet!$N29="I"),1,0)</f>
        <v>0</v>
      </c>
      <c r="X41" s="133">
        <f>Worksheet!$K29</f>
        <v>0</v>
      </c>
      <c r="Z41" s="133"/>
      <c r="AA41" s="133"/>
      <c r="AB41" s="133"/>
      <c r="AC41" s="133"/>
      <c r="AD41" s="133"/>
    </row>
    <row r="42" spans="1:30" x14ac:dyDescent="0.2">
      <c r="C42" s="471" t="s">
        <v>781</v>
      </c>
      <c r="D42" s="472"/>
      <c r="E42" s="187" t="s">
        <v>772</v>
      </c>
      <c r="H42">
        <f>Worksheet!O30</f>
        <v>0</v>
      </c>
      <c r="I42" s="260">
        <f>IF(Worksheet!$D30&gt;0,((Worksheet!$H30+12)*Worksheet!$F30/1296),0)</f>
        <v>0</v>
      </c>
      <c r="L42" s="275">
        <f>Worksheet!E30</f>
        <v>0</v>
      </c>
      <c r="M42" s="226">
        <f>IF(Worksheet!D30&gt;0,Worksheet!$F30-1.375,0)</f>
        <v>0</v>
      </c>
      <c r="N42" s="226">
        <f t="shared" si="0"/>
        <v>0</v>
      </c>
      <c r="Q42" s="223">
        <f>Worksheet!K30</f>
        <v>0</v>
      </c>
      <c r="R42" s="226">
        <f>Worksheet!$F30</f>
        <v>0</v>
      </c>
      <c r="T42" s="223">
        <f>Worksheet!D30</f>
        <v>0</v>
      </c>
      <c r="U42">
        <f>IF(OR(Worksheet!$M30="M",Worksheet!$N30="M"),1,0)</f>
        <v>0</v>
      </c>
      <c r="V42">
        <f>IF(OR(Worksheet!$M30="C",Worksheet!$N30="C"),1,0)</f>
        <v>0</v>
      </c>
      <c r="W42">
        <f>IF(OR(Worksheet!$M30="I",Worksheet!$N30="I"),1,0)</f>
        <v>0</v>
      </c>
      <c r="X42" s="133">
        <f>Worksheet!$K30</f>
        <v>0</v>
      </c>
    </row>
    <row r="43" spans="1:30" x14ac:dyDescent="0.2">
      <c r="B43" s="187" t="s">
        <v>779</v>
      </c>
      <c r="E43" s="145" t="s">
        <v>773</v>
      </c>
      <c r="H43">
        <f>Worksheet!O31</f>
        <v>0</v>
      </c>
      <c r="I43" s="260">
        <f>IF(Worksheet!$D31&gt;0,((Worksheet!$H31+12)*Worksheet!$F31/1296),0)</f>
        <v>0</v>
      </c>
      <c r="L43" s="275">
        <f>Worksheet!E31</f>
        <v>0</v>
      </c>
      <c r="M43" s="226">
        <f>IF(Worksheet!D31&gt;0,Worksheet!$F31-1.375,0)</f>
        <v>0</v>
      </c>
      <c r="N43" s="226">
        <f t="shared" si="0"/>
        <v>0</v>
      </c>
      <c r="Q43" s="223">
        <f>Worksheet!K31</f>
        <v>0</v>
      </c>
      <c r="R43" s="226">
        <f>Worksheet!$F31</f>
        <v>0</v>
      </c>
      <c r="T43" s="223">
        <f>Worksheet!D31</f>
        <v>0</v>
      </c>
      <c r="U43">
        <f>IF(OR(Worksheet!$M31="M",Worksheet!$N31="M"),1,0)</f>
        <v>0</v>
      </c>
      <c r="V43">
        <f>IF(OR(Worksheet!$M31="C",Worksheet!$N31="C"),1,0)</f>
        <v>0</v>
      </c>
      <c r="W43">
        <f>IF(OR(Worksheet!$M31="I",Worksheet!$N31="I"),1,0)</f>
        <v>0</v>
      </c>
      <c r="X43" s="133">
        <f>Worksheet!$K31</f>
        <v>0</v>
      </c>
    </row>
    <row r="44" spans="1:30" x14ac:dyDescent="0.2">
      <c r="B44" s="146" t="s">
        <v>780</v>
      </c>
      <c r="E44" s="145" t="s">
        <v>774</v>
      </c>
      <c r="H44">
        <f>Worksheet!O32</f>
        <v>0</v>
      </c>
      <c r="I44" s="260">
        <f>IF(Worksheet!$D32&gt;0,((Worksheet!$H32+12)*Worksheet!$F32/1296),0)</f>
        <v>0</v>
      </c>
      <c r="L44" s="275">
        <f>Worksheet!E32</f>
        <v>0</v>
      </c>
      <c r="M44" s="226">
        <f>IF(Worksheet!D32&gt;0,Worksheet!$F32-1.375,0)</f>
        <v>0</v>
      </c>
      <c r="N44" s="226">
        <f t="shared" si="0"/>
        <v>0</v>
      </c>
      <c r="Q44" s="223">
        <f>Worksheet!K32</f>
        <v>0</v>
      </c>
      <c r="R44" s="226">
        <f>Worksheet!$F32</f>
        <v>0</v>
      </c>
      <c r="T44" s="223">
        <f>Worksheet!D32</f>
        <v>0</v>
      </c>
      <c r="U44">
        <f>IF(OR(Worksheet!$M32="M",Worksheet!$N32="M"),1,0)</f>
        <v>0</v>
      </c>
      <c r="V44">
        <f>IF(OR(Worksheet!$M32="C",Worksheet!$N32="C"),1,0)</f>
        <v>0</v>
      </c>
      <c r="W44">
        <f>IF(OR(Worksheet!$M32="I",Worksheet!$N32="I"),1,0)</f>
        <v>0</v>
      </c>
      <c r="X44" s="133">
        <f>Worksheet!$K32</f>
        <v>0</v>
      </c>
    </row>
    <row r="45" spans="1:30" x14ac:dyDescent="0.2">
      <c r="A45" s="133"/>
      <c r="B45" s="133"/>
      <c r="E45" s="145" t="s">
        <v>775</v>
      </c>
      <c r="H45">
        <f>Worksheet!O33</f>
        <v>0</v>
      </c>
      <c r="I45" s="260">
        <f>IF(Worksheet!$D33&gt;0,((Worksheet!$H33+12)*Worksheet!$F33/1296),0)</f>
        <v>0</v>
      </c>
      <c r="L45" s="275">
        <f>Worksheet!E33</f>
        <v>0</v>
      </c>
      <c r="M45" s="226">
        <f>IF(Worksheet!D33&gt;0,Worksheet!$F33-1.375,0)</f>
        <v>0</v>
      </c>
      <c r="N45" s="226">
        <f t="shared" si="0"/>
        <v>0</v>
      </c>
      <c r="Q45" s="223">
        <f>Worksheet!K33</f>
        <v>0</v>
      </c>
      <c r="R45" s="226">
        <f>Worksheet!$F33</f>
        <v>0</v>
      </c>
      <c r="T45" s="223">
        <f>Worksheet!D33</f>
        <v>0</v>
      </c>
      <c r="U45">
        <f>IF(OR(Worksheet!$M33="M",Worksheet!$N33="M"),1,0)</f>
        <v>0</v>
      </c>
      <c r="V45">
        <f>IF(OR(Worksheet!$M33="C",Worksheet!$N33="C"),1,0)</f>
        <v>0</v>
      </c>
      <c r="W45">
        <f>IF(OR(Worksheet!$M33="I",Worksheet!$N33="I"),1,0)</f>
        <v>0</v>
      </c>
      <c r="X45" s="133">
        <f>Worksheet!$K33</f>
        <v>0</v>
      </c>
    </row>
    <row r="46" spans="1:30" ht="13.1" thickBot="1" x14ac:dyDescent="0.25">
      <c r="A46" s="133"/>
      <c r="C46" s="133"/>
      <c r="D46" s="133"/>
      <c r="E46" s="146" t="s">
        <v>214</v>
      </c>
      <c r="F46" s="133"/>
      <c r="H46">
        <f>Worksheet!O34</f>
        <v>0</v>
      </c>
      <c r="I46" s="260">
        <f>IF(Worksheet!$D34&gt;0,((Worksheet!$H34+12)*Worksheet!$F34/1296),0)</f>
        <v>0</v>
      </c>
      <c r="L46" s="275">
        <f>Worksheet!E34</f>
        <v>0</v>
      </c>
      <c r="M46" s="226">
        <f>IF(Worksheet!D34&gt;0,Worksheet!$F34-1.375,0)</f>
        <v>0</v>
      </c>
      <c r="N46" s="226">
        <f t="shared" si="0"/>
        <v>0</v>
      </c>
      <c r="Q46" s="223">
        <f>Worksheet!K34</f>
        <v>0</v>
      </c>
      <c r="R46" s="226">
        <f>Worksheet!$F34</f>
        <v>0</v>
      </c>
      <c r="T46" s="223">
        <f>Worksheet!D34</f>
        <v>0</v>
      </c>
      <c r="U46">
        <f>IF(OR(Worksheet!$M34="M",Worksheet!$N34="M"),1,0)</f>
        <v>0</v>
      </c>
      <c r="V46">
        <f>IF(OR(Worksheet!$M34="C",Worksheet!$N34="C"),1,0)</f>
        <v>0</v>
      </c>
      <c r="W46">
        <f>IF(OR(Worksheet!$M34="I",Worksheet!$N34="I"),1,0)</f>
        <v>0</v>
      </c>
      <c r="X46" s="133">
        <f>Worksheet!$K34</f>
        <v>0</v>
      </c>
    </row>
    <row r="47" spans="1:30" ht="13.1" thickBot="1" x14ac:dyDescent="0.25">
      <c r="D47" s="133" t="s">
        <v>745</v>
      </c>
      <c r="I47" s="260"/>
      <c r="N47" s="347">
        <f>SUM(N27:N46)</f>
        <v>234.25</v>
      </c>
      <c r="T47" s="6"/>
      <c r="V47" s="298">
        <f>SUM(V27:V46)</f>
        <v>0</v>
      </c>
      <c r="W47" s="298">
        <f>SUM(W27:W46)</f>
        <v>6</v>
      </c>
    </row>
    <row r="48" spans="1:30" x14ac:dyDescent="0.2">
      <c r="A48" s="133" t="s">
        <v>783</v>
      </c>
      <c r="B48" s="187" t="s">
        <v>785</v>
      </c>
      <c r="D48" s="133" t="s">
        <v>27</v>
      </c>
      <c r="E48" s="187" t="s">
        <v>791</v>
      </c>
      <c r="I48" s="260"/>
      <c r="T48" s="6"/>
    </row>
    <row r="49" spans="1:9" x14ac:dyDescent="0.2">
      <c r="B49" s="145" t="s">
        <v>786</v>
      </c>
      <c r="E49" s="145" t="s">
        <v>792</v>
      </c>
      <c r="I49" s="260"/>
    </row>
    <row r="50" spans="1:9" x14ac:dyDescent="0.2">
      <c r="B50" s="146" t="s">
        <v>784</v>
      </c>
      <c r="E50" s="296"/>
      <c r="I50" s="260"/>
    </row>
    <row r="51" spans="1:9" x14ac:dyDescent="0.2">
      <c r="I51" s="260"/>
    </row>
    <row r="52" spans="1:9" x14ac:dyDescent="0.2">
      <c r="A52" s="133" t="s">
        <v>1380</v>
      </c>
      <c r="B52" s="187" t="s">
        <v>1381</v>
      </c>
      <c r="D52" s="133" t="s">
        <v>796</v>
      </c>
      <c r="E52" s="187" t="s">
        <v>797</v>
      </c>
    </row>
    <row r="53" spans="1:9" x14ac:dyDescent="0.2">
      <c r="B53" s="145" t="s">
        <v>1382</v>
      </c>
      <c r="E53" s="145" t="s">
        <v>798</v>
      </c>
    </row>
    <row r="54" spans="1:9" x14ac:dyDescent="0.2">
      <c r="B54" s="146" t="s">
        <v>1383</v>
      </c>
      <c r="E54" s="296"/>
    </row>
    <row r="56" spans="1:9" x14ac:dyDescent="0.2">
      <c r="A56" s="133" t="s">
        <v>1384</v>
      </c>
      <c r="B56" s="187" t="s">
        <v>1385</v>
      </c>
    </row>
    <row r="57" spans="1:9" x14ac:dyDescent="0.2">
      <c r="B57" s="146" t="s">
        <v>1386</v>
      </c>
    </row>
  </sheetData>
  <sortState xmlns:xlrd2="http://schemas.microsoft.com/office/spreadsheetml/2017/richdata2" ref="B29:B32">
    <sortCondition ref="B29:B32"/>
  </sortState>
  <mergeCells count="1">
    <mergeCell ref="C42:D42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B52"/>
  <sheetViews>
    <sheetView showGridLines="0" view="pageBreakPreview" topLeftCell="N1" zoomScaleNormal="100" workbookViewId="0">
      <selection activeCell="AE2" sqref="AE2"/>
    </sheetView>
  </sheetViews>
  <sheetFormatPr defaultColWidth="8.875" defaultRowHeight="12.45" x14ac:dyDescent="0.2"/>
  <cols>
    <col min="2" max="2" width="5.25" style="50" customWidth="1"/>
    <col min="3" max="3" width="12.25" customWidth="1"/>
    <col min="4" max="4" width="3.125" style="6" customWidth="1"/>
    <col min="5" max="5" width="9.625" customWidth="1"/>
    <col min="6" max="6" width="7" style="4" customWidth="1"/>
    <col min="7" max="7" width="2.125" style="6" customWidth="1"/>
    <col min="8" max="8" width="7" style="4" customWidth="1"/>
    <col min="9" max="9" width="3.375" customWidth="1"/>
    <col min="10" max="10" width="4.125" customWidth="1"/>
    <col min="11" max="11" width="6.625" customWidth="1"/>
    <col min="12" max="12" width="6.75" customWidth="1"/>
    <col min="13" max="14" width="4.375" customWidth="1"/>
    <col min="15" max="15" width="23.25" customWidth="1"/>
    <col min="16" max="16" width="28.375" customWidth="1"/>
    <col min="17" max="17" width="3.25" customWidth="1"/>
    <col min="18" max="18" width="6.75" customWidth="1"/>
    <col min="19" max="19" width="8.125" customWidth="1"/>
    <col min="20" max="20" width="5.375" customWidth="1"/>
    <col min="21" max="21" width="6.25" customWidth="1"/>
    <col min="22" max="22" width="13" style="51" customWidth="1"/>
    <col min="23" max="23" width="14" style="51" customWidth="1"/>
    <col min="24" max="24" width="14.875" style="51" customWidth="1"/>
    <col min="25" max="25" width="12.875" style="51" customWidth="1"/>
    <col min="26" max="26" width="13" style="51" customWidth="1"/>
    <col min="27" max="28" width="13.125" style="51" customWidth="1"/>
    <col min="29" max="29" width="14.25" style="51" customWidth="1"/>
    <col min="30" max="30" width="13.625" style="51" customWidth="1"/>
    <col min="31" max="31" width="15" style="51" customWidth="1"/>
    <col min="32" max="33" width="8.875" customWidth="1"/>
    <col min="34" max="35" width="8.125" customWidth="1"/>
    <col min="36" max="38" width="8.125" style="6" customWidth="1"/>
    <col min="39" max="39" width="5.375" style="6" customWidth="1"/>
    <col min="41" max="41" width="2.375" customWidth="1"/>
    <col min="42" max="43" width="17.625" style="6" customWidth="1"/>
    <col min="44" max="44" width="3.625" style="6" customWidth="1"/>
    <col min="45" max="45" width="17.375" style="6" customWidth="1"/>
    <col min="46" max="46" width="17.625" style="6" customWidth="1"/>
    <col min="47" max="47" width="2.375" style="6" customWidth="1"/>
    <col min="48" max="48" width="17.625" style="6" customWidth="1"/>
    <col min="49" max="49" width="2.875" style="6" customWidth="1"/>
    <col min="50" max="50" width="18.625" style="6" customWidth="1"/>
    <col min="51" max="51" width="3.875" style="6" customWidth="1"/>
    <col min="52" max="52" width="16.375" style="6" customWidth="1"/>
    <col min="53" max="53" width="6.25" style="6" customWidth="1"/>
    <col min="54" max="54" width="16.125" style="6" customWidth="1"/>
    <col min="55" max="55" width="6.125" style="6" customWidth="1"/>
    <col min="56" max="56" width="5.125" style="6" customWidth="1"/>
    <col min="57" max="57" width="16.125" style="6" customWidth="1"/>
    <col min="58" max="58" width="4.875" style="6" customWidth="1"/>
    <col min="59" max="59" width="4.75" style="6" customWidth="1"/>
    <col min="60" max="60" width="14.625" customWidth="1"/>
    <col min="61" max="61" width="6" customWidth="1"/>
  </cols>
  <sheetData>
    <row r="1" spans="1:80" ht="7.55" customHeight="1" x14ac:dyDescent="0.2"/>
    <row r="2" spans="1:80" ht="25.55" x14ac:dyDescent="0.4">
      <c r="K2" s="228" t="s">
        <v>240</v>
      </c>
      <c r="P2" s="89">
        <f ca="1">TODAY()</f>
        <v>45813</v>
      </c>
      <c r="Q2" s="136"/>
      <c r="AC2" s="51" t="s">
        <v>28</v>
      </c>
      <c r="AE2" s="133">
        <v>30894</v>
      </c>
    </row>
    <row r="3" spans="1:80" ht="14.25" customHeight="1" x14ac:dyDescent="0.25">
      <c r="B3" s="52"/>
      <c r="K3" s="53" t="str">
        <f>IF(Q12,"*Final Measurements*","")</f>
        <v>*Final Measurements*</v>
      </c>
      <c r="Q3" s="136"/>
      <c r="V3" s="47"/>
      <c r="W3" s="47" t="s">
        <v>7</v>
      </c>
      <c r="X3" s="47"/>
      <c r="Y3" s="47"/>
    </row>
    <row r="4" spans="1:80" ht="11.95" customHeight="1" thickBot="1" x14ac:dyDescent="0.25">
      <c r="D4" s="54"/>
      <c r="P4" s="55"/>
      <c r="Q4" s="137"/>
      <c r="R4" s="55"/>
      <c r="S4" s="55"/>
      <c r="T4" s="55"/>
      <c r="V4" s="47"/>
      <c r="W4" s="47"/>
      <c r="X4" s="47"/>
      <c r="Y4" s="47"/>
      <c r="AD4" s="56"/>
      <c r="AE4" s="84"/>
    </row>
    <row r="5" spans="1:80" ht="13.75" thickBot="1" x14ac:dyDescent="0.3">
      <c r="C5" s="56" t="s">
        <v>0</v>
      </c>
      <c r="D5" s="476" t="s">
        <v>1421</v>
      </c>
      <c r="E5" s="476"/>
      <c r="F5" s="476"/>
      <c r="G5" s="476"/>
      <c r="H5" s="476"/>
      <c r="K5" s="56" t="s">
        <v>1</v>
      </c>
      <c r="L5" s="479" t="s">
        <v>1414</v>
      </c>
      <c r="M5" s="479"/>
      <c r="N5" s="479"/>
      <c r="O5" s="479"/>
      <c r="P5" s="229" t="s">
        <v>203</v>
      </c>
      <c r="Q5" s="227">
        <v>1</v>
      </c>
      <c r="R5" s="139"/>
      <c r="S5" s="57"/>
      <c r="T5" s="57"/>
      <c r="V5" s="58" t="s">
        <v>0</v>
      </c>
      <c r="W5" s="59" t="str">
        <f>IF(D5="","",D5)</f>
        <v>Westland Construction</v>
      </c>
      <c r="X5" s="60"/>
      <c r="Y5" s="60"/>
      <c r="AA5" s="47" t="s">
        <v>762</v>
      </c>
      <c r="AD5" s="229" t="s">
        <v>750</v>
      </c>
      <c r="AE5" s="259">
        <v>23</v>
      </c>
    </row>
    <row r="6" spans="1:80" ht="13.1" thickBot="1" x14ac:dyDescent="0.25">
      <c r="D6" s="477" t="s">
        <v>1422</v>
      </c>
      <c r="E6" s="477"/>
      <c r="F6" s="477"/>
      <c r="G6" s="477"/>
      <c r="H6" s="477"/>
      <c r="L6" s="480"/>
      <c r="M6" s="480"/>
      <c r="N6" s="480"/>
      <c r="O6" s="480"/>
      <c r="P6" s="139"/>
      <c r="Q6" s="138"/>
      <c r="R6" s="138"/>
      <c r="V6" s="47"/>
      <c r="W6" s="62"/>
      <c r="X6" s="63"/>
      <c r="Y6" s="63"/>
      <c r="AA6" s="258">
        <v>3.5000000000000003E-2</v>
      </c>
      <c r="AB6" s="342" t="s">
        <v>1426</v>
      </c>
      <c r="AD6" s="56" t="s">
        <v>15</v>
      </c>
      <c r="AE6" s="61">
        <v>8</v>
      </c>
    </row>
    <row r="7" spans="1:80" ht="13.75" thickBot="1" x14ac:dyDescent="0.3">
      <c r="D7" s="477" t="s">
        <v>1423</v>
      </c>
      <c r="E7" s="477"/>
      <c r="F7" s="477"/>
      <c r="G7" s="477"/>
      <c r="H7" s="477"/>
      <c r="L7" s="481" t="s">
        <v>1424</v>
      </c>
      <c r="M7" s="480"/>
      <c r="N7" s="480"/>
      <c r="O7" s="480"/>
      <c r="P7" s="341" t="s">
        <v>834</v>
      </c>
      <c r="Q7" s="473">
        <v>45820</v>
      </c>
      <c r="R7" s="474"/>
      <c r="S7" s="475"/>
      <c r="V7" s="56" t="s">
        <v>1</v>
      </c>
      <c r="W7" s="59" t="str">
        <f>IF(L5="","",L5)</f>
        <v>Pago Pago Temple Endowment Change Order</v>
      </c>
      <c r="X7" s="60"/>
      <c r="Y7" s="60"/>
      <c r="AA7" s="258">
        <v>1.4999999999999999E-2</v>
      </c>
      <c r="AB7" s="342" t="s">
        <v>764</v>
      </c>
      <c r="AD7" s="56" t="s">
        <v>16</v>
      </c>
      <c r="AE7" s="61">
        <v>8</v>
      </c>
    </row>
    <row r="8" spans="1:80" ht="13.1" thickBot="1" x14ac:dyDescent="0.25">
      <c r="C8" s="56" t="s">
        <v>178</v>
      </c>
      <c r="D8" s="478"/>
      <c r="E8" s="478"/>
      <c r="F8" s="478"/>
      <c r="G8" s="478"/>
      <c r="H8" s="478"/>
      <c r="I8" s="56"/>
      <c r="K8" s="56" t="s">
        <v>177</v>
      </c>
      <c r="L8" s="478"/>
      <c r="M8" s="478"/>
      <c r="N8" s="478"/>
      <c r="O8" s="478"/>
      <c r="P8" s="139"/>
      <c r="Q8" s="138"/>
      <c r="R8" s="138"/>
      <c r="V8" s="47"/>
      <c r="W8" s="59" t="str">
        <f>IF(L6="","",L6)</f>
        <v/>
      </c>
      <c r="X8" s="64"/>
      <c r="Y8" s="64"/>
      <c r="AA8" s="258"/>
      <c r="AB8" s="342" t="s">
        <v>765</v>
      </c>
      <c r="AD8" s="65"/>
      <c r="AE8" s="66" t="b">
        <v>0</v>
      </c>
    </row>
    <row r="9" spans="1:80" ht="13.1" thickBot="1" x14ac:dyDescent="0.25">
      <c r="C9" s="56" t="s">
        <v>11</v>
      </c>
      <c r="D9" s="476" t="s">
        <v>1415</v>
      </c>
      <c r="E9" s="476"/>
      <c r="F9" s="476"/>
      <c r="G9" s="476"/>
      <c r="H9" s="476"/>
      <c r="I9" s="56"/>
      <c r="K9" s="56" t="s">
        <v>11</v>
      </c>
      <c r="L9" s="479" t="s">
        <v>1417</v>
      </c>
      <c r="M9" s="498"/>
      <c r="N9" s="498"/>
      <c r="O9" s="498"/>
      <c r="P9" s="139"/>
      <c r="Q9" s="139">
        <v>1</v>
      </c>
      <c r="R9" s="139"/>
      <c r="S9" s="57"/>
      <c r="T9" s="57"/>
      <c r="V9" s="47"/>
      <c r="W9" s="59" t="str">
        <f>IF(L7="","",L7)</f>
        <v>Pago Pago, American Samoa</v>
      </c>
      <c r="X9" s="64"/>
      <c r="Y9" s="64"/>
      <c r="AA9" s="258"/>
      <c r="AB9" s="342" t="s">
        <v>766</v>
      </c>
      <c r="AD9" s="65" t="s">
        <v>168</v>
      </c>
      <c r="AE9" s="67">
        <v>0</v>
      </c>
    </row>
    <row r="10" spans="1:80" ht="13.1" thickBot="1" x14ac:dyDescent="0.25">
      <c r="C10" s="56" t="s">
        <v>5</v>
      </c>
      <c r="D10" s="477"/>
      <c r="E10" s="477"/>
      <c r="F10" s="477"/>
      <c r="G10" s="477"/>
      <c r="H10" s="477"/>
      <c r="I10" s="56"/>
      <c r="K10" s="56" t="s">
        <v>5</v>
      </c>
      <c r="L10" s="481" t="s">
        <v>1418</v>
      </c>
      <c r="M10" s="480"/>
      <c r="N10" s="480"/>
      <c r="O10" s="480"/>
      <c r="P10" s="139"/>
      <c r="Q10" s="138"/>
      <c r="R10" s="138"/>
      <c r="AD10" s="68" t="s">
        <v>173</v>
      </c>
      <c r="AE10" s="69"/>
    </row>
    <row r="11" spans="1:80" ht="13.1" thickBot="1" x14ac:dyDescent="0.25">
      <c r="C11" s="93" t="s">
        <v>187</v>
      </c>
      <c r="D11" s="493"/>
      <c r="E11" s="493"/>
      <c r="F11" s="493"/>
      <c r="G11" s="493"/>
      <c r="H11" s="493"/>
      <c r="I11" s="56"/>
      <c r="K11" s="93" t="s">
        <v>187</v>
      </c>
      <c r="L11" s="481" t="s">
        <v>1419</v>
      </c>
      <c r="M11" s="480"/>
      <c r="N11" s="480"/>
      <c r="O11" s="480"/>
      <c r="P11" s="139"/>
      <c r="Q11" s="138"/>
      <c r="R11" s="138"/>
      <c r="AD11" s="68" t="s">
        <v>9</v>
      </c>
      <c r="AE11" s="70"/>
    </row>
    <row r="12" spans="1:80" ht="18.350000000000001" customHeight="1" thickBot="1" x14ac:dyDescent="0.3">
      <c r="C12" s="56" t="s">
        <v>172</v>
      </c>
      <c r="D12" s="494" t="s">
        <v>1416</v>
      </c>
      <c r="E12" s="494"/>
      <c r="F12" s="494"/>
      <c r="G12" s="494"/>
      <c r="H12" s="494"/>
      <c r="I12" s="56"/>
      <c r="K12" s="56" t="s">
        <v>172</v>
      </c>
      <c r="L12" s="499" t="s">
        <v>1420</v>
      </c>
      <c r="M12" s="480"/>
      <c r="N12" s="480"/>
      <c r="O12" s="480"/>
      <c r="P12" s="138"/>
      <c r="Q12" s="140" t="b">
        <v>1</v>
      </c>
      <c r="R12" s="140"/>
      <c r="S12" s="71"/>
      <c r="T12" s="71"/>
      <c r="X12" s="72"/>
      <c r="Y12" s="72"/>
      <c r="AD12" s="68" t="s">
        <v>10</v>
      </c>
      <c r="AE12" s="70"/>
      <c r="AT12" s="251" t="s">
        <v>761</v>
      </c>
      <c r="AU12" s="276"/>
    </row>
    <row r="13" spans="1:80" ht="24.75" customHeight="1" thickBot="1" x14ac:dyDescent="0.25">
      <c r="P13" s="138"/>
      <c r="Q13" s="141"/>
      <c r="R13" s="141"/>
      <c r="S13" s="123"/>
      <c r="T13" s="123"/>
      <c r="X13" s="72"/>
      <c r="Y13" s="72"/>
      <c r="Z13" s="72"/>
      <c r="AA13" s="72"/>
      <c r="AB13" s="72"/>
      <c r="AP13"/>
    </row>
    <row r="14" spans="1:80" s="237" customFormat="1" ht="55.5" customHeight="1" x14ac:dyDescent="0.25">
      <c r="C14" s="239" t="s">
        <v>2</v>
      </c>
      <c r="D14" s="238" t="s">
        <v>12</v>
      </c>
      <c r="E14" s="239" t="s">
        <v>212</v>
      </c>
      <c r="F14" s="240" t="s">
        <v>19</v>
      </c>
      <c r="G14" s="239"/>
      <c r="H14" s="334" t="s">
        <v>25</v>
      </c>
      <c r="I14" s="244" t="s">
        <v>752</v>
      </c>
      <c r="J14" s="290" t="s">
        <v>753</v>
      </c>
      <c r="K14" s="244" t="s">
        <v>754</v>
      </c>
      <c r="L14" s="291" t="s">
        <v>755</v>
      </c>
      <c r="M14" s="290" t="s">
        <v>756</v>
      </c>
      <c r="N14" s="290" t="s">
        <v>757</v>
      </c>
      <c r="O14" s="239" t="s">
        <v>758</v>
      </c>
      <c r="P14" s="311" t="s">
        <v>202</v>
      </c>
      <c r="Q14" s="309" t="s">
        <v>759</v>
      </c>
      <c r="R14" s="310" t="s">
        <v>782</v>
      </c>
      <c r="S14" s="315" t="s">
        <v>818</v>
      </c>
      <c r="T14" s="317"/>
      <c r="U14" s="319" t="s">
        <v>762</v>
      </c>
      <c r="V14" s="241" t="s">
        <v>830</v>
      </c>
      <c r="W14" s="241" t="s">
        <v>18</v>
      </c>
      <c r="X14" s="242" t="s">
        <v>831</v>
      </c>
      <c r="Y14" s="242" t="s">
        <v>14</v>
      </c>
      <c r="Z14" s="242" t="s">
        <v>832</v>
      </c>
      <c r="AA14" s="242" t="s">
        <v>27</v>
      </c>
      <c r="AB14" s="242" t="s">
        <v>751</v>
      </c>
      <c r="AC14" s="241" t="s">
        <v>833</v>
      </c>
      <c r="AD14" s="241" t="s">
        <v>56</v>
      </c>
      <c r="AE14" s="243"/>
      <c r="AH14" s="364" t="s">
        <v>848</v>
      </c>
      <c r="AI14" s="364" t="s">
        <v>24</v>
      </c>
      <c r="AJ14" s="365" t="s">
        <v>815</v>
      </c>
      <c r="AK14" s="365" t="s">
        <v>816</v>
      </c>
      <c r="AL14" s="365" t="s">
        <v>817</v>
      </c>
      <c r="AM14" s="366"/>
      <c r="AN14" s="252"/>
      <c r="AO14" s="261"/>
      <c r="AP14" s="262"/>
      <c r="AQ14" s="263"/>
      <c r="AR14" s="271"/>
      <c r="AS14" s="253"/>
      <c r="AT14" s="345" t="s">
        <v>788</v>
      </c>
      <c r="AU14" s="254"/>
      <c r="AV14" s="348" t="s">
        <v>235</v>
      </c>
      <c r="AW14" s="281"/>
      <c r="AX14" s="351" t="s">
        <v>236</v>
      </c>
      <c r="AY14" s="255"/>
      <c r="AZ14" s="349" t="s">
        <v>239</v>
      </c>
      <c r="BA14" s="297"/>
      <c r="BB14" s="350" t="s">
        <v>795</v>
      </c>
      <c r="BC14" s="256"/>
      <c r="BD14" s="257"/>
      <c r="BE14" s="350" t="s">
        <v>803</v>
      </c>
      <c r="BF14" s="256"/>
      <c r="BG14" s="257"/>
      <c r="BH14" s="350" t="s">
        <v>804</v>
      </c>
      <c r="BI14" s="300"/>
      <c r="BJ14" s="252"/>
      <c r="BK14" s="252"/>
      <c r="BL14" s="252"/>
      <c r="BM14" s="252"/>
      <c r="BN14" s="252"/>
      <c r="BO14" s="252"/>
      <c r="BP14" s="252"/>
      <c r="BQ14" s="252"/>
      <c r="BR14" s="252"/>
      <c r="BS14" s="252"/>
      <c r="BT14" s="252"/>
      <c r="BU14" s="252"/>
      <c r="BV14" s="252"/>
      <c r="BW14" s="252"/>
      <c r="BX14" s="252"/>
      <c r="BY14" s="252"/>
      <c r="BZ14" s="252"/>
      <c r="CA14" s="252"/>
      <c r="CB14" s="252"/>
    </row>
    <row r="15" spans="1:80" ht="14.1" customHeight="1" x14ac:dyDescent="0.25">
      <c r="A15" t="s">
        <v>30</v>
      </c>
      <c r="B15" s="50" t="str">
        <f>HLOOKUP($Q$5,'Data Sheet'!$B$2:$BA$23,2,FALSE)</f>
        <v>A1</v>
      </c>
      <c r="C15" s="225">
        <v>134</v>
      </c>
      <c r="D15" s="76">
        <v>1</v>
      </c>
      <c r="E15" s="289" t="s">
        <v>213</v>
      </c>
      <c r="F15" s="333">
        <v>46.375</v>
      </c>
      <c r="G15" s="234" t="s">
        <v>4</v>
      </c>
      <c r="H15" s="333">
        <v>141</v>
      </c>
      <c r="I15" s="289" t="s">
        <v>1385</v>
      </c>
      <c r="J15" s="289" t="s">
        <v>779</v>
      </c>
      <c r="K15" s="289"/>
      <c r="L15" s="122" t="s">
        <v>835</v>
      </c>
      <c r="M15" s="294" t="s">
        <v>1381</v>
      </c>
      <c r="N15" s="294" t="s">
        <v>1383</v>
      </c>
      <c r="O15" s="122" t="s">
        <v>1426</v>
      </c>
      <c r="P15" s="146" t="s">
        <v>1428</v>
      </c>
      <c r="Q15" s="312" t="str">
        <f t="shared" ref="Q15:Q25" si="0">IF(D15&gt;0,IF(F15&gt;117,"RR","V")," ")</f>
        <v>V</v>
      </c>
      <c r="R15" s="294" t="s">
        <v>746</v>
      </c>
      <c r="S15" s="370"/>
      <c r="T15" s="318"/>
      <c r="U15" s="96">
        <f t="shared" ref="U15:U34" si="1">IF($O15=$AB$6,Fabric_1,IF($O15=$AB$7,Fabric_2,IF($O15=$AB$8,Fabric_3,IF($O15=$AB$9,Fabric_4,0))))</f>
        <v>3.5000000000000003E-2</v>
      </c>
      <c r="V15" s="236">
        <f>IF(F15&gt;0,+IF(E15="Tube 2.375",F15*0.5+15,IF(E15="Tube 3",F15*0.7+30,IF(E15="Tube 1.5",F15*0.5+22.5,0))),0)</f>
        <v>38.1875</v>
      </c>
      <c r="W15" s="97">
        <f t="shared" ref="W15:W34" si="2">+(F15*(H15+12))*U15</f>
        <v>248.33812500000002</v>
      </c>
      <c r="X15" s="98">
        <f t="shared" ref="X15:X34" si="3">+W15*D15+V15*D15</f>
        <v>286.52562499999999</v>
      </c>
      <c r="Y15" s="98">
        <f t="shared" ref="Y15:Y34" si="4">+IF(K15&gt;0,D15*F15/12*facia,0)</f>
        <v>0</v>
      </c>
      <c r="Z15" s="98">
        <f t="shared" ref="Z15:Z34" si="5">IF(J15&gt;0,D15*2*H15/12*channel,0)</f>
        <v>188</v>
      </c>
      <c r="AA15" s="231">
        <f t="shared" ref="AA15:AA34" si="6">IF(K15&gt;0,D15*bracket,0)</f>
        <v>0</v>
      </c>
      <c r="AB15" s="313">
        <v>1600</v>
      </c>
      <c r="AC15" s="231">
        <f t="shared" ref="AC15:AC34" si="7">IF(Install=1,IF(K15&gt;0,D15*27,D15*18),0)</f>
        <v>18</v>
      </c>
      <c r="AD15" s="98">
        <f t="shared" ref="AD15:AD34" si="8">+IF(J15&gt;0,H15*0.2,0)</f>
        <v>28.200000000000003</v>
      </c>
      <c r="AE15" s="314">
        <f>SUM(X15:AD15)</f>
        <v>2120.725625</v>
      </c>
      <c r="AH15" s="367" t="str">
        <f>IF(S15="Yes",0.375,IF(S15="No",0," "))</f>
        <v xml:space="preserve"> </v>
      </c>
      <c r="AI15" s="367">
        <f>IF(J15="yes",0.5," ")</f>
        <v>0.5</v>
      </c>
      <c r="AJ15" s="279">
        <f>+IF(M15="m",1,IF(M15="I",0.5,IF(M15="c",0.5,0)))</f>
        <v>1</v>
      </c>
      <c r="AK15" s="279">
        <f>+IF(N15="m",1,IF(N15="I",0.5,IF(N15="c",0.5,0)))</f>
        <v>0.5</v>
      </c>
      <c r="AL15" s="279">
        <f>IF(AND(R15="Ultra 30",J15="yes"),1.875,IF(AND(R15="Ultra 30",J15="no"),1.375,SUM(AH15:AK15)))</f>
        <v>2</v>
      </c>
      <c r="AM15" s="4"/>
      <c r="AO15" s="264"/>
      <c r="AP15"/>
      <c r="AQ15" s="346" t="s">
        <v>767</v>
      </c>
      <c r="AR15" s="272"/>
      <c r="AS15" s="232"/>
      <c r="AV15" s="306">
        <f t="shared" ref="AV15:AV34" si="9">IF(D15&gt;0,$F15+2,0)</f>
        <v>48.375</v>
      </c>
      <c r="AW15" s="282"/>
      <c r="AZ15" s="305">
        <f t="shared" ref="AZ15:AZ34" si="10">IF(D15&gt;0,H15-3,0)</f>
        <v>138</v>
      </c>
      <c r="BA15" s="4"/>
      <c r="BC15" s="224"/>
      <c r="BD15" s="283"/>
      <c r="BE15" s="299"/>
      <c r="BF15" s="224"/>
      <c r="BG15" s="283"/>
      <c r="BI15" s="301"/>
    </row>
    <row r="16" spans="1:80" ht="14.1" customHeight="1" x14ac:dyDescent="0.2">
      <c r="A16" t="s">
        <v>31</v>
      </c>
      <c r="B16" s="50" t="str">
        <f>HLOOKUP($Q$5,'Data Sheet'!$B$2:$BA$23,3,FALSE)</f>
        <v>A2</v>
      </c>
      <c r="C16" s="336">
        <v>134</v>
      </c>
      <c r="D16" s="76">
        <v>1</v>
      </c>
      <c r="E16" s="289" t="s">
        <v>213</v>
      </c>
      <c r="F16" s="333">
        <v>46.5</v>
      </c>
      <c r="G16" s="234" t="s">
        <v>4</v>
      </c>
      <c r="H16" s="333">
        <v>141</v>
      </c>
      <c r="I16" s="289" t="s">
        <v>1385</v>
      </c>
      <c r="J16" s="289" t="s">
        <v>779</v>
      </c>
      <c r="K16" s="289"/>
      <c r="L16" s="122" t="s">
        <v>835</v>
      </c>
      <c r="M16" s="294" t="s">
        <v>1381</v>
      </c>
      <c r="N16" s="294" t="s">
        <v>1383</v>
      </c>
      <c r="O16" s="122" t="s">
        <v>1426</v>
      </c>
      <c r="P16" s="146" t="s">
        <v>1428</v>
      </c>
      <c r="Q16" s="312" t="str">
        <f t="shared" si="0"/>
        <v>V</v>
      </c>
      <c r="R16" s="294" t="s">
        <v>746</v>
      </c>
      <c r="S16" s="427"/>
      <c r="T16" s="318"/>
      <c r="U16" s="96">
        <f t="shared" si="1"/>
        <v>3.5000000000000003E-2</v>
      </c>
      <c r="V16" s="236">
        <f t="shared" ref="V16:V34" si="11">IF(F16&gt;0,+IF(E16="Tube 2.375",F16*0.5+15,IF(E16="Tube 3",F16*0.7+30,IF(E16="Tube 1.5",F16*0.5+22.5,0))),0)</f>
        <v>38.25</v>
      </c>
      <c r="W16" s="97">
        <f t="shared" si="2"/>
        <v>249.00750000000002</v>
      </c>
      <c r="X16" s="98">
        <f t="shared" si="3"/>
        <v>287.25750000000005</v>
      </c>
      <c r="Y16" s="98">
        <f t="shared" si="4"/>
        <v>0</v>
      </c>
      <c r="Z16" s="98">
        <f t="shared" si="5"/>
        <v>188</v>
      </c>
      <c r="AA16" s="231">
        <f t="shared" si="6"/>
        <v>0</v>
      </c>
      <c r="AB16" s="313">
        <v>1600</v>
      </c>
      <c r="AC16" s="231">
        <f t="shared" si="7"/>
        <v>18</v>
      </c>
      <c r="AD16" s="98">
        <f t="shared" si="8"/>
        <v>28.200000000000003</v>
      </c>
      <c r="AE16" s="314">
        <f t="shared" ref="AE16:AE34" si="12">SUM(X16:AD16)</f>
        <v>2121.4575</v>
      </c>
      <c r="AH16" s="367" t="str">
        <f t="shared" ref="AH16:AH34" si="13">IF(S16="Yes",0.375,IF(S16="No",0," "))</f>
        <v xml:space="preserve"> </v>
      </c>
      <c r="AI16" s="367">
        <f t="shared" ref="AI16:AI34" si="14">IF(J16="yes",0.5," ")</f>
        <v>0.5</v>
      </c>
      <c r="AJ16" s="279">
        <f t="shared" ref="AJ16:AJ34" si="15">+IF(M16="m",1,IF(M16="I",0.5,IF(M16="c",0.5,0)))</f>
        <v>1</v>
      </c>
      <c r="AK16" s="279">
        <f t="shared" ref="AK16:AK34" si="16">+IF(N16="m",1,IF(N16="I",0.5,IF(N16="c",0.5,0)))</f>
        <v>0.5</v>
      </c>
      <c r="AL16" s="279">
        <f t="shared" ref="AL16:AL34" si="17">IF(AND(R16="Ultra 30",J16="yes"),1.875,IF(AND(R16="Ultra 30",J16="no"),1.375,SUM(AH16:AK16)))</f>
        <v>2</v>
      </c>
      <c r="AM16" s="4"/>
      <c r="AO16" s="264"/>
      <c r="AP16" s="133" t="s">
        <v>763</v>
      </c>
      <c r="AR16" s="272"/>
      <c r="AS16" s="277" t="s">
        <v>213</v>
      </c>
      <c r="AT16" s="279">
        <f>SUMIF('Data Sheet'!$L$27:$L$46,'Data Sheet'!$B$30,'Data Sheet'!$M$27:$M$46)/12</f>
        <v>20.770833333333332</v>
      </c>
      <c r="AV16" s="306">
        <f t="shared" si="9"/>
        <v>48.5</v>
      </c>
      <c r="AW16" s="283"/>
      <c r="AX16" s="223" t="s">
        <v>772</v>
      </c>
      <c r="AY16" s="223"/>
      <c r="AZ16" s="305">
        <f t="shared" si="10"/>
        <v>138</v>
      </c>
      <c r="BA16" s="4"/>
      <c r="BB16" s="223" t="s">
        <v>799</v>
      </c>
      <c r="BC16" s="224"/>
      <c r="BD16" s="283"/>
      <c r="BE16" s="223" t="s">
        <v>813</v>
      </c>
      <c r="BF16" s="224"/>
      <c r="BG16" s="283"/>
      <c r="BH16" s="133" t="s">
        <v>814</v>
      </c>
      <c r="BI16" s="301"/>
    </row>
    <row r="17" spans="1:61" ht="14.1" customHeight="1" x14ac:dyDescent="0.2">
      <c r="A17" t="s">
        <v>32</v>
      </c>
      <c r="B17" s="50" t="str">
        <f>HLOOKUP($Q$5,'Data Sheet'!$B$2:$BA$23,4,FALSE)</f>
        <v>A3</v>
      </c>
      <c r="C17" s="336">
        <v>135</v>
      </c>
      <c r="D17" s="76">
        <v>1</v>
      </c>
      <c r="E17" s="289" t="s">
        <v>213</v>
      </c>
      <c r="F17" s="333">
        <v>36</v>
      </c>
      <c r="G17" s="234" t="s">
        <v>4</v>
      </c>
      <c r="H17" s="333">
        <v>141</v>
      </c>
      <c r="I17" s="289" t="s">
        <v>1385</v>
      </c>
      <c r="J17" s="289" t="s">
        <v>779</v>
      </c>
      <c r="K17" s="289"/>
      <c r="L17" s="122" t="s">
        <v>835</v>
      </c>
      <c r="M17" s="294" t="s">
        <v>1381</v>
      </c>
      <c r="N17" s="294" t="s">
        <v>1383</v>
      </c>
      <c r="O17" s="122" t="s">
        <v>1426</v>
      </c>
      <c r="P17" s="146" t="s">
        <v>1427</v>
      </c>
      <c r="Q17" s="312" t="str">
        <f t="shared" si="0"/>
        <v>V</v>
      </c>
      <c r="R17" s="294" t="s">
        <v>746</v>
      </c>
      <c r="S17" s="370"/>
      <c r="T17" s="318"/>
      <c r="U17" s="96">
        <f t="shared" si="1"/>
        <v>3.5000000000000003E-2</v>
      </c>
      <c r="V17" s="236">
        <f t="shared" si="11"/>
        <v>33</v>
      </c>
      <c r="W17" s="97">
        <f t="shared" si="2"/>
        <v>192.78000000000003</v>
      </c>
      <c r="X17" s="98">
        <f t="shared" si="3"/>
        <v>225.78000000000003</v>
      </c>
      <c r="Y17" s="98">
        <f t="shared" si="4"/>
        <v>0</v>
      </c>
      <c r="Z17" s="98">
        <f t="shared" si="5"/>
        <v>188</v>
      </c>
      <c r="AA17" s="231">
        <f t="shared" si="6"/>
        <v>0</v>
      </c>
      <c r="AB17" s="313">
        <v>1600</v>
      </c>
      <c r="AC17" s="231">
        <f t="shared" si="7"/>
        <v>18</v>
      </c>
      <c r="AD17" s="98">
        <f t="shared" si="8"/>
        <v>28.200000000000003</v>
      </c>
      <c r="AE17" s="314">
        <f t="shared" si="12"/>
        <v>2059.98</v>
      </c>
      <c r="AH17" s="367" t="str">
        <f t="shared" si="13"/>
        <v xml:space="preserve"> </v>
      </c>
      <c r="AI17" s="367">
        <f t="shared" si="14"/>
        <v>0.5</v>
      </c>
      <c r="AJ17" s="279">
        <f t="shared" si="15"/>
        <v>1</v>
      </c>
      <c r="AK17" s="279">
        <f t="shared" si="16"/>
        <v>0.5</v>
      </c>
      <c r="AL17" s="279">
        <f t="shared" si="17"/>
        <v>2</v>
      </c>
      <c r="AM17" s="4"/>
      <c r="AO17" s="264"/>
      <c r="AP17" s="265" t="str">
        <f>AB6</f>
        <v>VX Intimate Sing BO, Ivory</v>
      </c>
      <c r="AQ17" s="279">
        <f>SUMIF('Data Sheet'!$H$27:$H$46,Worksheet!AP17,'Data Sheet'!$I$27:$I$46)</f>
        <v>30.399305555555557</v>
      </c>
      <c r="AR17" s="272"/>
      <c r="AS17" s="232"/>
      <c r="AT17" s="260"/>
      <c r="AV17" s="306">
        <f t="shared" si="9"/>
        <v>38</v>
      </c>
      <c r="AW17" s="283"/>
      <c r="AX17" s="279">
        <f>SUMIF('Data Sheet'!$Q$27:$Q$46,$AX$16,'Data Sheet'!$R$27:$R$46)/12</f>
        <v>0</v>
      </c>
      <c r="AY17" s="260"/>
      <c r="AZ17" s="305">
        <f t="shared" si="10"/>
        <v>138</v>
      </c>
      <c r="BA17" s="4"/>
      <c r="BB17" s="76">
        <f>SUMIFS('Data Sheet'!$T$27:$T$46,'Data Sheet'!$U$27:$U$46,1,'Data Sheet'!$X$27:$X$46,'Data Sheet'!$E$42)</f>
        <v>0</v>
      </c>
      <c r="BC17" s="224"/>
      <c r="BD17" s="283"/>
      <c r="BE17" s="234">
        <f>'Data Sheet'!V47</f>
        <v>0</v>
      </c>
      <c r="BF17" s="224"/>
      <c r="BG17" s="283"/>
      <c r="BH17" s="122">
        <f>'Data Sheet'!W47</f>
        <v>6</v>
      </c>
      <c r="BI17" s="301"/>
    </row>
    <row r="18" spans="1:61" ht="14.1" customHeight="1" x14ac:dyDescent="0.2">
      <c r="A18" t="s">
        <v>29</v>
      </c>
      <c r="B18" s="50" t="str">
        <f>HLOOKUP($Q$5,'Data Sheet'!$B$2:$BA$23,5,FALSE)</f>
        <v>A4</v>
      </c>
      <c r="C18" s="336">
        <v>139</v>
      </c>
      <c r="D18" s="76">
        <v>1</v>
      </c>
      <c r="E18" s="289" t="s">
        <v>213</v>
      </c>
      <c r="F18" s="333">
        <v>36</v>
      </c>
      <c r="G18" s="234" t="s">
        <v>4</v>
      </c>
      <c r="H18" s="333">
        <v>141</v>
      </c>
      <c r="I18" s="289" t="s">
        <v>1385</v>
      </c>
      <c r="J18" s="289" t="s">
        <v>779</v>
      </c>
      <c r="K18" s="289"/>
      <c r="L18" s="122" t="s">
        <v>835</v>
      </c>
      <c r="M18" s="294" t="s">
        <v>1381</v>
      </c>
      <c r="N18" s="294" t="s">
        <v>1383</v>
      </c>
      <c r="O18" s="122" t="s">
        <v>1426</v>
      </c>
      <c r="P18" s="146" t="s">
        <v>1427</v>
      </c>
      <c r="Q18" s="312" t="str">
        <f t="shared" si="0"/>
        <v>V</v>
      </c>
      <c r="R18" s="294" t="s">
        <v>746</v>
      </c>
      <c r="S18" s="427"/>
      <c r="T18" s="318"/>
      <c r="U18" s="96">
        <f t="shared" si="1"/>
        <v>3.5000000000000003E-2</v>
      </c>
      <c r="V18" s="236">
        <f t="shared" si="11"/>
        <v>33</v>
      </c>
      <c r="W18" s="97">
        <f t="shared" si="2"/>
        <v>192.78000000000003</v>
      </c>
      <c r="X18" s="98">
        <f t="shared" si="3"/>
        <v>225.78000000000003</v>
      </c>
      <c r="Y18" s="98">
        <f t="shared" si="4"/>
        <v>0</v>
      </c>
      <c r="Z18" s="98">
        <f t="shared" si="5"/>
        <v>188</v>
      </c>
      <c r="AA18" s="231">
        <f t="shared" si="6"/>
        <v>0</v>
      </c>
      <c r="AB18" s="313">
        <v>1600</v>
      </c>
      <c r="AC18" s="231">
        <f t="shared" si="7"/>
        <v>18</v>
      </c>
      <c r="AD18" s="98">
        <f t="shared" si="8"/>
        <v>28.200000000000003</v>
      </c>
      <c r="AE18" s="314">
        <f t="shared" si="12"/>
        <v>2059.98</v>
      </c>
      <c r="AH18" s="367" t="str">
        <f t="shared" si="13"/>
        <v xml:space="preserve"> </v>
      </c>
      <c r="AI18" s="367">
        <f t="shared" si="14"/>
        <v>0.5</v>
      </c>
      <c r="AJ18" s="279">
        <f t="shared" si="15"/>
        <v>1</v>
      </c>
      <c r="AK18" s="279">
        <f t="shared" si="16"/>
        <v>0.5</v>
      </c>
      <c r="AL18" s="279">
        <f t="shared" si="17"/>
        <v>2</v>
      </c>
      <c r="AM18" s="4"/>
      <c r="AO18" s="264"/>
      <c r="AP18" s="133" t="s">
        <v>764</v>
      </c>
      <c r="AR18" s="272"/>
      <c r="AS18" s="277" t="s">
        <v>749</v>
      </c>
      <c r="AT18" s="279">
        <f>SUMIF('Data Sheet'!$L$27:$L$46,'Data Sheet'!$B$31,'Data Sheet'!$M$27:$M$46)/12</f>
        <v>0</v>
      </c>
      <c r="AV18" s="306">
        <f t="shared" si="9"/>
        <v>38</v>
      </c>
      <c r="AW18" s="283"/>
      <c r="AX18" s="274" t="s">
        <v>773</v>
      </c>
      <c r="AY18" s="274"/>
      <c r="AZ18" s="305">
        <f t="shared" si="10"/>
        <v>138</v>
      </c>
      <c r="BA18" s="4"/>
      <c r="BB18" s="223" t="s">
        <v>800</v>
      </c>
      <c r="BC18" s="224"/>
      <c r="BD18" s="283"/>
      <c r="BE18" s="223" t="s">
        <v>1370</v>
      </c>
      <c r="BF18" s="224"/>
      <c r="BG18" s="283"/>
      <c r="BH18" s="133" t="s">
        <v>1369</v>
      </c>
      <c r="BI18" s="301"/>
    </row>
    <row r="19" spans="1:61" ht="14.1" customHeight="1" x14ac:dyDescent="0.2">
      <c r="A19" t="s">
        <v>33</v>
      </c>
      <c r="B19" s="50" t="str">
        <f>HLOOKUP($Q$5,'Data Sheet'!$B$2:$BA$23,6,FALSE)</f>
        <v>A5</v>
      </c>
      <c r="C19" s="336">
        <v>140</v>
      </c>
      <c r="D19" s="76">
        <v>1</v>
      </c>
      <c r="E19" s="289" t="s">
        <v>213</v>
      </c>
      <c r="F19" s="333">
        <v>46.375</v>
      </c>
      <c r="G19" s="234" t="s">
        <v>4</v>
      </c>
      <c r="H19" s="333">
        <v>141</v>
      </c>
      <c r="I19" s="289" t="s">
        <v>1385</v>
      </c>
      <c r="J19" s="289" t="s">
        <v>779</v>
      </c>
      <c r="K19" s="289"/>
      <c r="L19" s="122" t="s">
        <v>835</v>
      </c>
      <c r="M19" s="294" t="s">
        <v>1381</v>
      </c>
      <c r="N19" s="294" t="s">
        <v>1383</v>
      </c>
      <c r="O19" s="122" t="s">
        <v>1426</v>
      </c>
      <c r="P19" s="146" t="s">
        <v>1428</v>
      </c>
      <c r="Q19" s="312" t="str">
        <f t="shared" si="0"/>
        <v>V</v>
      </c>
      <c r="R19" s="294" t="s">
        <v>746</v>
      </c>
      <c r="S19" s="370"/>
      <c r="T19" s="318"/>
      <c r="U19" s="96">
        <f t="shared" si="1"/>
        <v>3.5000000000000003E-2</v>
      </c>
      <c r="V19" s="236">
        <f t="shared" si="11"/>
        <v>38.1875</v>
      </c>
      <c r="W19" s="97">
        <f t="shared" si="2"/>
        <v>248.33812500000002</v>
      </c>
      <c r="X19" s="98">
        <f t="shared" si="3"/>
        <v>286.52562499999999</v>
      </c>
      <c r="Y19" s="98">
        <f t="shared" si="4"/>
        <v>0</v>
      </c>
      <c r="Z19" s="98">
        <f t="shared" si="5"/>
        <v>188</v>
      </c>
      <c r="AA19" s="231">
        <f t="shared" si="6"/>
        <v>0</v>
      </c>
      <c r="AB19" s="313">
        <v>1600</v>
      </c>
      <c r="AC19" s="231">
        <f t="shared" si="7"/>
        <v>18</v>
      </c>
      <c r="AD19" s="98">
        <f t="shared" si="8"/>
        <v>28.200000000000003</v>
      </c>
      <c r="AE19" s="314">
        <f t="shared" si="12"/>
        <v>2120.725625</v>
      </c>
      <c r="AH19" s="367" t="str">
        <f t="shared" si="13"/>
        <v xml:space="preserve"> </v>
      </c>
      <c r="AI19" s="367">
        <f t="shared" si="14"/>
        <v>0.5</v>
      </c>
      <c r="AJ19" s="279">
        <f t="shared" si="15"/>
        <v>1</v>
      </c>
      <c r="AK19" s="279">
        <f t="shared" si="16"/>
        <v>0.5</v>
      </c>
      <c r="AL19" s="279">
        <f t="shared" si="17"/>
        <v>2</v>
      </c>
      <c r="AM19" s="4"/>
      <c r="AO19" s="264"/>
      <c r="AP19" s="265" t="str">
        <f>AB7</f>
        <v>Fabric 2</v>
      </c>
      <c r="AQ19" s="279">
        <f>SUMIF('Data Sheet'!$H$27:$H$46,Worksheet!AP19,'Data Sheet'!$I$27:$I$46)</f>
        <v>0</v>
      </c>
      <c r="AR19" s="272"/>
      <c r="AS19" s="232"/>
      <c r="AV19" s="306">
        <f t="shared" si="9"/>
        <v>48.375</v>
      </c>
      <c r="AW19" s="283"/>
      <c r="AX19" s="279">
        <f>SUMIF('Data Sheet'!$Q$27:$Q$46,$AX$18,'Data Sheet'!$R$27:$R$46)/12</f>
        <v>0</v>
      </c>
      <c r="AY19" s="260"/>
      <c r="AZ19" s="305">
        <f t="shared" si="10"/>
        <v>138</v>
      </c>
      <c r="BA19" s="4"/>
      <c r="BB19" s="76">
        <f>SUMIFS('Data Sheet'!$T$27:$T$46,'Data Sheet'!$U$27:$U$46,1,'Data Sheet'!$X$27:$X$46,'Data Sheet'!$E$43)</f>
        <v>0</v>
      </c>
      <c r="BC19" s="224"/>
      <c r="BD19" s="283"/>
      <c r="BF19" s="224"/>
      <c r="BG19" s="283"/>
      <c r="BI19" s="301"/>
    </row>
    <row r="20" spans="1:61" ht="14.1" customHeight="1" x14ac:dyDescent="0.2">
      <c r="A20" t="s">
        <v>34</v>
      </c>
      <c r="B20" s="50" t="str">
        <f>HLOOKUP($Q$5,'Data Sheet'!$B$2:$BA$23,7,FALSE)</f>
        <v>A6</v>
      </c>
      <c r="C20" s="225">
        <v>140</v>
      </c>
      <c r="D20" s="76">
        <v>1</v>
      </c>
      <c r="E20" s="289" t="s">
        <v>213</v>
      </c>
      <c r="F20" s="333">
        <v>46.25</v>
      </c>
      <c r="G20" s="234" t="s">
        <v>4</v>
      </c>
      <c r="H20" s="333">
        <v>141</v>
      </c>
      <c r="I20" s="289" t="s">
        <v>1385</v>
      </c>
      <c r="J20" s="289" t="s">
        <v>779</v>
      </c>
      <c r="K20" s="289"/>
      <c r="L20" s="122" t="s">
        <v>835</v>
      </c>
      <c r="M20" s="294" t="s">
        <v>1381</v>
      </c>
      <c r="N20" s="294" t="s">
        <v>1383</v>
      </c>
      <c r="O20" s="122" t="s">
        <v>1426</v>
      </c>
      <c r="P20" s="146" t="s">
        <v>1428</v>
      </c>
      <c r="Q20" s="312" t="str">
        <f t="shared" si="0"/>
        <v>V</v>
      </c>
      <c r="R20" s="294" t="s">
        <v>746</v>
      </c>
      <c r="S20" s="427"/>
      <c r="T20" s="318"/>
      <c r="U20" s="96">
        <f t="shared" si="1"/>
        <v>3.5000000000000003E-2</v>
      </c>
      <c r="V20" s="236">
        <f t="shared" si="11"/>
        <v>38.125</v>
      </c>
      <c r="W20" s="97">
        <f t="shared" si="2"/>
        <v>247.66875000000002</v>
      </c>
      <c r="X20" s="98">
        <f t="shared" si="3"/>
        <v>285.79375000000005</v>
      </c>
      <c r="Y20" s="98">
        <f t="shared" si="4"/>
        <v>0</v>
      </c>
      <c r="Z20" s="98">
        <f t="shared" si="5"/>
        <v>188</v>
      </c>
      <c r="AA20" s="231">
        <f t="shared" si="6"/>
        <v>0</v>
      </c>
      <c r="AB20" s="313">
        <v>1600</v>
      </c>
      <c r="AC20" s="231">
        <f t="shared" si="7"/>
        <v>18</v>
      </c>
      <c r="AD20" s="98">
        <f t="shared" si="8"/>
        <v>28.200000000000003</v>
      </c>
      <c r="AE20" s="314">
        <f t="shared" si="12"/>
        <v>2119.9937499999996</v>
      </c>
      <c r="AH20" s="367" t="str">
        <f t="shared" si="13"/>
        <v xml:space="preserve"> </v>
      </c>
      <c r="AI20" s="367">
        <f t="shared" si="14"/>
        <v>0.5</v>
      </c>
      <c r="AJ20" s="279">
        <f t="shared" si="15"/>
        <v>1</v>
      </c>
      <c r="AK20" s="279">
        <f t="shared" si="16"/>
        <v>0.5</v>
      </c>
      <c r="AL20" s="279">
        <f t="shared" si="17"/>
        <v>2</v>
      </c>
      <c r="AM20" s="4"/>
      <c r="AO20" s="264"/>
      <c r="AP20" s="133" t="s">
        <v>765</v>
      </c>
      <c r="AR20" s="272"/>
      <c r="AS20" s="232"/>
      <c r="AV20" s="306">
        <f t="shared" si="9"/>
        <v>48.25</v>
      </c>
      <c r="AW20" s="283"/>
      <c r="AX20" s="274" t="s">
        <v>774</v>
      </c>
      <c r="AY20" s="274"/>
      <c r="AZ20" s="305">
        <f t="shared" si="10"/>
        <v>138</v>
      </c>
      <c r="BA20" s="4"/>
      <c r="BB20" s="223" t="s">
        <v>802</v>
      </c>
      <c r="BC20" s="224"/>
      <c r="BD20" s="283"/>
      <c r="BF20" s="224"/>
      <c r="BG20" s="283"/>
      <c r="BI20" s="301"/>
    </row>
    <row r="21" spans="1:61" ht="14.1" customHeight="1" thickBot="1" x14ac:dyDescent="0.3">
      <c r="A21" t="s">
        <v>35</v>
      </c>
      <c r="B21" s="50" t="str">
        <f>HLOOKUP($Q$5,'Data Sheet'!$B$2:$BA$23,8,FALSE)</f>
        <v>A7</v>
      </c>
      <c r="C21" s="225"/>
      <c r="D21" s="76"/>
      <c r="E21" s="289"/>
      <c r="F21" s="333"/>
      <c r="G21" s="234" t="s">
        <v>4</v>
      </c>
      <c r="H21" s="333"/>
      <c r="I21" s="289"/>
      <c r="J21" s="289"/>
      <c r="K21" s="289"/>
      <c r="L21" s="122" t="s">
        <v>835</v>
      </c>
      <c r="M21" s="370"/>
      <c r="N21" s="370"/>
      <c r="O21" s="225"/>
      <c r="P21" s="146" t="str">
        <f t="shared" ref="P21:P25" si="18">IF(Q21="RR","RR all shades in same room"," ")</f>
        <v xml:space="preserve"> </v>
      </c>
      <c r="Q21" s="312" t="str">
        <f t="shared" si="0"/>
        <v xml:space="preserve"> </v>
      </c>
      <c r="R21" s="294"/>
      <c r="S21" s="370"/>
      <c r="T21" s="318"/>
      <c r="U21" s="96">
        <f t="shared" si="1"/>
        <v>0</v>
      </c>
      <c r="V21" s="236">
        <f t="shared" si="11"/>
        <v>0</v>
      </c>
      <c r="W21" s="97">
        <f t="shared" si="2"/>
        <v>0</v>
      </c>
      <c r="X21" s="98">
        <f t="shared" si="3"/>
        <v>0</v>
      </c>
      <c r="Y21" s="98">
        <f t="shared" si="4"/>
        <v>0</v>
      </c>
      <c r="Z21" s="98">
        <f t="shared" si="5"/>
        <v>0</v>
      </c>
      <c r="AA21" s="231">
        <f t="shared" si="6"/>
        <v>0</v>
      </c>
      <c r="AB21" s="313"/>
      <c r="AC21" s="231">
        <f t="shared" si="7"/>
        <v>0</v>
      </c>
      <c r="AD21" s="98">
        <f t="shared" si="8"/>
        <v>0</v>
      </c>
      <c r="AE21" s="314">
        <f t="shared" si="12"/>
        <v>0</v>
      </c>
      <c r="AH21" s="367" t="str">
        <f t="shared" si="13"/>
        <v xml:space="preserve"> </v>
      </c>
      <c r="AI21" s="367" t="str">
        <f t="shared" si="14"/>
        <v xml:space="preserve"> </v>
      </c>
      <c r="AJ21" s="279">
        <f t="shared" si="15"/>
        <v>0</v>
      </c>
      <c r="AK21" s="279">
        <f t="shared" si="16"/>
        <v>0</v>
      </c>
      <c r="AL21" s="279">
        <f t="shared" si="17"/>
        <v>0</v>
      </c>
      <c r="AM21" s="4"/>
      <c r="AO21" s="264"/>
      <c r="AP21" s="265" t="str">
        <f>AB8</f>
        <v>Fabric 3</v>
      </c>
      <c r="AQ21" s="279">
        <f>SUMIF('Data Sheet'!$H$27:$H$46,Worksheet!AP21,'Data Sheet'!$I$27:$I$46)</f>
        <v>0</v>
      </c>
      <c r="AR21" s="272"/>
      <c r="AS21" s="232"/>
      <c r="AT21" s="346" t="s">
        <v>846</v>
      </c>
      <c r="AV21" s="306">
        <f t="shared" si="9"/>
        <v>0</v>
      </c>
      <c r="AW21" s="283"/>
      <c r="AX21" s="279">
        <f>SUMIF('Data Sheet'!$Q$27:$Q$46,$AX$20,'Data Sheet'!$R$27:$R$46)/12</f>
        <v>0</v>
      </c>
      <c r="AY21" s="260"/>
      <c r="AZ21" s="305">
        <f t="shared" si="10"/>
        <v>0</v>
      </c>
      <c r="BA21" s="4"/>
      <c r="BB21" s="76">
        <f>SUMIFS('Data Sheet'!$T$27:$T$46,'Data Sheet'!$U$27:$U$46,1,'Data Sheet'!$X$27:$X$46,'Data Sheet'!$E$44)</f>
        <v>0</v>
      </c>
      <c r="BC21" s="224"/>
      <c r="BD21" s="302"/>
      <c r="BE21" s="267"/>
      <c r="BF21" s="278"/>
      <c r="BG21" s="302"/>
      <c r="BH21" s="84"/>
      <c r="BI21" s="85"/>
    </row>
    <row r="22" spans="1:61" ht="14.1" customHeight="1" x14ac:dyDescent="0.2">
      <c r="A22" t="s">
        <v>36</v>
      </c>
      <c r="B22" s="50" t="str">
        <f>HLOOKUP($Q$5,'Data Sheet'!$B$2:$BA$23,9,FALSE)</f>
        <v>A8</v>
      </c>
      <c r="C22" s="225"/>
      <c r="D22" s="76"/>
      <c r="E22" s="289"/>
      <c r="F22" s="333"/>
      <c r="G22" s="234" t="s">
        <v>4</v>
      </c>
      <c r="H22" s="333"/>
      <c r="I22" s="289"/>
      <c r="J22" s="289"/>
      <c r="K22" s="289"/>
      <c r="L22" s="122" t="s">
        <v>835</v>
      </c>
      <c r="M22" s="294"/>
      <c r="N22" s="294"/>
      <c r="O22" s="122"/>
      <c r="P22" s="146" t="str">
        <f t="shared" si="18"/>
        <v xml:space="preserve"> </v>
      </c>
      <c r="Q22" s="312" t="str">
        <f t="shared" si="0"/>
        <v xml:space="preserve"> </v>
      </c>
      <c r="R22" s="245"/>
      <c r="S22" s="370"/>
      <c r="T22" s="318"/>
      <c r="U22" s="96">
        <f t="shared" si="1"/>
        <v>0</v>
      </c>
      <c r="V22" s="236">
        <f t="shared" si="11"/>
        <v>0</v>
      </c>
      <c r="W22" s="97">
        <f t="shared" si="2"/>
        <v>0</v>
      </c>
      <c r="X22" s="98">
        <f t="shared" si="3"/>
        <v>0</v>
      </c>
      <c r="Y22" s="98">
        <f t="shared" si="4"/>
        <v>0</v>
      </c>
      <c r="Z22" s="98">
        <f t="shared" si="5"/>
        <v>0</v>
      </c>
      <c r="AA22" s="231">
        <f t="shared" si="6"/>
        <v>0</v>
      </c>
      <c r="AB22" s="313"/>
      <c r="AC22" s="231">
        <f t="shared" si="7"/>
        <v>0</v>
      </c>
      <c r="AD22" s="98">
        <f t="shared" si="8"/>
        <v>0</v>
      </c>
      <c r="AE22" s="314">
        <f t="shared" si="12"/>
        <v>0</v>
      </c>
      <c r="AH22" s="367" t="str">
        <f t="shared" si="13"/>
        <v xml:space="preserve"> </v>
      </c>
      <c r="AI22" s="367" t="str">
        <f t="shared" si="14"/>
        <v xml:space="preserve"> </v>
      </c>
      <c r="AJ22" s="279">
        <f t="shared" si="15"/>
        <v>0</v>
      </c>
      <c r="AK22" s="279">
        <f t="shared" si="16"/>
        <v>0</v>
      </c>
      <c r="AL22" s="279">
        <f t="shared" si="17"/>
        <v>0</v>
      </c>
      <c r="AM22" s="4"/>
      <c r="AO22" s="264"/>
      <c r="AP22" s="133" t="s">
        <v>766</v>
      </c>
      <c r="AR22" s="272"/>
      <c r="AV22" s="306">
        <f t="shared" si="9"/>
        <v>0</v>
      </c>
      <c r="AW22" s="283"/>
      <c r="AX22" s="274" t="s">
        <v>775</v>
      </c>
      <c r="AY22" s="274"/>
      <c r="AZ22" s="305">
        <f t="shared" si="10"/>
        <v>0</v>
      </c>
      <c r="BA22" s="4"/>
      <c r="BB22" s="223" t="s">
        <v>801</v>
      </c>
      <c r="BC22" s="224"/>
    </row>
    <row r="23" spans="1:61" ht="14.1" customHeight="1" x14ac:dyDescent="0.2">
      <c r="A23" t="s">
        <v>37</v>
      </c>
      <c r="B23" s="50" t="str">
        <f>HLOOKUP($Q$5,'Data Sheet'!$B$2:$BA$23,10,FALSE)</f>
        <v>A9</v>
      </c>
      <c r="C23" s="336"/>
      <c r="D23" s="76"/>
      <c r="E23" s="289"/>
      <c r="F23" s="333"/>
      <c r="G23" s="234" t="s">
        <v>4</v>
      </c>
      <c r="H23" s="333"/>
      <c r="I23" s="289"/>
      <c r="J23" s="289"/>
      <c r="K23" s="289"/>
      <c r="L23" s="122" t="s">
        <v>835</v>
      </c>
      <c r="M23" s="294"/>
      <c r="N23" s="294"/>
      <c r="O23" s="122"/>
      <c r="P23" s="146" t="str">
        <f t="shared" si="18"/>
        <v xml:space="preserve"> </v>
      </c>
      <c r="Q23" s="312" t="str">
        <f t="shared" si="0"/>
        <v xml:space="preserve"> </v>
      </c>
      <c r="R23" s="245"/>
      <c r="S23" s="370"/>
      <c r="T23" s="318"/>
      <c r="U23" s="96">
        <f t="shared" si="1"/>
        <v>0</v>
      </c>
      <c r="V23" s="236">
        <f t="shared" si="11"/>
        <v>0</v>
      </c>
      <c r="W23" s="97">
        <f t="shared" si="2"/>
        <v>0</v>
      </c>
      <c r="X23" s="98">
        <f t="shared" si="3"/>
        <v>0</v>
      </c>
      <c r="Y23" s="98">
        <f t="shared" si="4"/>
        <v>0</v>
      </c>
      <c r="Z23" s="98">
        <f t="shared" si="5"/>
        <v>0</v>
      </c>
      <c r="AA23" s="231">
        <f t="shared" si="6"/>
        <v>0</v>
      </c>
      <c r="AB23" s="313"/>
      <c r="AC23" s="231">
        <f t="shared" si="7"/>
        <v>0</v>
      </c>
      <c r="AD23" s="98">
        <f t="shared" si="8"/>
        <v>0</v>
      </c>
      <c r="AE23" s="314">
        <f t="shared" si="12"/>
        <v>0</v>
      </c>
      <c r="AH23" s="367" t="str">
        <f t="shared" si="13"/>
        <v xml:space="preserve"> </v>
      </c>
      <c r="AI23" s="367" t="str">
        <f t="shared" si="14"/>
        <v xml:space="preserve"> </v>
      </c>
      <c r="AJ23" s="279">
        <f t="shared" si="15"/>
        <v>0</v>
      </c>
      <c r="AK23" s="279">
        <f t="shared" si="16"/>
        <v>0</v>
      </c>
      <c r="AL23" s="279">
        <f t="shared" si="17"/>
        <v>0</v>
      </c>
      <c r="AM23" s="4"/>
      <c r="AO23" s="264"/>
      <c r="AP23" s="265" t="str">
        <f>AB9</f>
        <v>Fabric 4</v>
      </c>
      <c r="AQ23" s="279">
        <f>SUMIF('Data Sheet'!$H$27:$H$46,Worksheet!AP23,'Data Sheet'!$I$27:$I$46)</f>
        <v>0</v>
      </c>
      <c r="AR23" s="272"/>
      <c r="AS23" s="277" t="s">
        <v>771</v>
      </c>
      <c r="AT23" s="279">
        <f>SUMIF('Data Sheet'!$L$27:$L$46,'Data Sheet'!$B$30,'Data Sheet'!$M$27:$M$46)/192</f>
        <v>1.2981770833333333</v>
      </c>
      <c r="AV23" s="306">
        <f t="shared" si="9"/>
        <v>0</v>
      </c>
      <c r="AW23" s="283"/>
      <c r="AX23" s="279">
        <f>SUMIF('Data Sheet'!$Q$27:$Q$46,$AX$22,'Data Sheet'!$R$27:$R$46)/12</f>
        <v>0</v>
      </c>
      <c r="AY23" s="260"/>
      <c r="AZ23" s="305">
        <f t="shared" si="10"/>
        <v>0</v>
      </c>
      <c r="BA23" s="4"/>
      <c r="BB23" s="76">
        <f>SUMIFS('Data Sheet'!$T$27:$T$46,'Data Sheet'!$U$27:$U$46,1,'Data Sheet'!$X$27:$X$46,'Data Sheet'!$E$45)</f>
        <v>0</v>
      </c>
      <c r="BC23" s="224"/>
    </row>
    <row r="24" spans="1:61" ht="14.1" customHeight="1" x14ac:dyDescent="0.2">
      <c r="A24" t="s">
        <v>38</v>
      </c>
      <c r="B24" s="50" t="str">
        <f>HLOOKUP($Q$5,'Data Sheet'!$B$2:$BA$23,11,FALSE)</f>
        <v>A10</v>
      </c>
      <c r="C24" s="336"/>
      <c r="D24" s="76"/>
      <c r="E24" s="289"/>
      <c r="F24" s="333"/>
      <c r="G24" s="234" t="s">
        <v>4</v>
      </c>
      <c r="H24" s="333"/>
      <c r="I24" s="289"/>
      <c r="J24" s="289"/>
      <c r="K24" s="289"/>
      <c r="L24" s="122" t="s">
        <v>835</v>
      </c>
      <c r="M24" s="294"/>
      <c r="N24" s="294"/>
      <c r="O24" s="122"/>
      <c r="P24" s="146" t="str">
        <f t="shared" si="18"/>
        <v xml:space="preserve"> </v>
      </c>
      <c r="Q24" s="312" t="str">
        <f t="shared" si="0"/>
        <v xml:space="preserve"> </v>
      </c>
      <c r="R24" s="245"/>
      <c r="S24" s="370"/>
      <c r="T24" s="318"/>
      <c r="U24" s="96">
        <f t="shared" si="1"/>
        <v>0</v>
      </c>
      <c r="V24" s="236">
        <f t="shared" si="11"/>
        <v>0</v>
      </c>
      <c r="W24" s="97">
        <f t="shared" si="2"/>
        <v>0</v>
      </c>
      <c r="X24" s="98">
        <f t="shared" si="3"/>
        <v>0</v>
      </c>
      <c r="Y24" s="230">
        <f t="shared" si="4"/>
        <v>0</v>
      </c>
      <c r="Z24" s="98">
        <f t="shared" si="5"/>
        <v>0</v>
      </c>
      <c r="AA24" s="231">
        <f t="shared" si="6"/>
        <v>0</v>
      </c>
      <c r="AB24" s="313"/>
      <c r="AC24" s="231">
        <f t="shared" si="7"/>
        <v>0</v>
      </c>
      <c r="AD24" s="98">
        <f t="shared" si="8"/>
        <v>0</v>
      </c>
      <c r="AE24" s="314">
        <f t="shared" si="12"/>
        <v>0</v>
      </c>
      <c r="AH24" s="367" t="str">
        <f t="shared" si="13"/>
        <v xml:space="preserve"> </v>
      </c>
      <c r="AI24" s="367" t="str">
        <f t="shared" si="14"/>
        <v xml:space="preserve"> </v>
      </c>
      <c r="AJ24" s="279">
        <f t="shared" si="15"/>
        <v>0</v>
      </c>
      <c r="AK24" s="279">
        <f t="shared" si="16"/>
        <v>0</v>
      </c>
      <c r="AL24" s="279">
        <f t="shared" si="17"/>
        <v>0</v>
      </c>
      <c r="AM24" s="4"/>
      <c r="AO24" s="264"/>
      <c r="AP24" s="133"/>
      <c r="AR24" s="272"/>
      <c r="AS24" s="232"/>
      <c r="AV24" s="306">
        <f t="shared" si="9"/>
        <v>0</v>
      </c>
      <c r="AW24" s="282"/>
      <c r="AZ24" s="305">
        <f t="shared" si="10"/>
        <v>0</v>
      </c>
      <c r="BA24" s="4"/>
      <c r="BC24" s="224"/>
    </row>
    <row r="25" spans="1:61" ht="14.1" customHeight="1" x14ac:dyDescent="0.25">
      <c r="A25" t="s">
        <v>39</v>
      </c>
      <c r="B25" s="50" t="str">
        <f>HLOOKUP($Q$5,'Data Sheet'!$B$2:$BA$23,12,FALSE)</f>
        <v>A11</v>
      </c>
      <c r="C25" s="336"/>
      <c r="D25" s="76"/>
      <c r="E25" s="289"/>
      <c r="F25" s="333"/>
      <c r="G25" s="234" t="s">
        <v>4</v>
      </c>
      <c r="H25" s="333"/>
      <c r="I25" s="289"/>
      <c r="J25" s="289"/>
      <c r="K25" s="289"/>
      <c r="L25" s="122" t="s">
        <v>835</v>
      </c>
      <c r="M25" s="294"/>
      <c r="N25" s="294"/>
      <c r="O25" s="122"/>
      <c r="P25" s="146" t="str">
        <f t="shared" si="18"/>
        <v xml:space="preserve"> </v>
      </c>
      <c r="Q25" s="312" t="str">
        <f t="shared" si="0"/>
        <v xml:space="preserve"> </v>
      </c>
      <c r="R25" s="246"/>
      <c r="S25" s="370"/>
      <c r="T25" s="318"/>
      <c r="U25" s="96">
        <f t="shared" si="1"/>
        <v>0</v>
      </c>
      <c r="V25" s="236">
        <f t="shared" si="11"/>
        <v>0</v>
      </c>
      <c r="W25" s="97">
        <f t="shared" si="2"/>
        <v>0</v>
      </c>
      <c r="X25" s="98">
        <f t="shared" si="3"/>
        <v>0</v>
      </c>
      <c r="Y25" s="98">
        <f t="shared" si="4"/>
        <v>0</v>
      </c>
      <c r="Z25" s="98">
        <f t="shared" si="5"/>
        <v>0</v>
      </c>
      <c r="AA25" s="231">
        <f t="shared" si="6"/>
        <v>0</v>
      </c>
      <c r="AB25" s="313"/>
      <c r="AC25" s="231">
        <f t="shared" si="7"/>
        <v>0</v>
      </c>
      <c r="AD25" s="98">
        <f t="shared" si="8"/>
        <v>0</v>
      </c>
      <c r="AE25" s="314">
        <f t="shared" si="12"/>
        <v>0</v>
      </c>
      <c r="AH25" s="367" t="str">
        <f t="shared" si="13"/>
        <v xml:space="preserve"> </v>
      </c>
      <c r="AI25" s="367" t="str">
        <f t="shared" si="14"/>
        <v xml:space="preserve"> </v>
      </c>
      <c r="AJ25" s="279">
        <f t="shared" si="15"/>
        <v>0</v>
      </c>
      <c r="AK25" s="279">
        <f t="shared" si="16"/>
        <v>0</v>
      </c>
      <c r="AL25" s="279">
        <f t="shared" si="17"/>
        <v>0</v>
      </c>
      <c r="AM25" s="4"/>
      <c r="AO25" s="264"/>
      <c r="AP25"/>
      <c r="AR25" s="272"/>
      <c r="AS25" s="277" t="s">
        <v>749</v>
      </c>
      <c r="AT25" s="279">
        <f>SUMIF('Data Sheet'!$L$27:$L$46,'Data Sheet'!$B$31,'Data Sheet'!$M$27:$M$46)/192</f>
        <v>0</v>
      </c>
      <c r="AV25" s="306">
        <f t="shared" si="9"/>
        <v>0</v>
      </c>
      <c r="AW25" s="282"/>
      <c r="AX25" s="280" t="s">
        <v>778</v>
      </c>
      <c r="AZ25" s="305">
        <f t="shared" si="10"/>
        <v>0</v>
      </c>
      <c r="BA25" s="4"/>
      <c r="BC25" s="224"/>
    </row>
    <row r="26" spans="1:61" ht="14.1" customHeight="1" x14ac:dyDescent="0.2">
      <c r="A26" t="s">
        <v>40</v>
      </c>
      <c r="B26" s="50" t="str">
        <f>HLOOKUP($Q$5,'Data Sheet'!$B$2:$BA$23,13,FALSE)</f>
        <v>A12</v>
      </c>
      <c r="C26" s="336"/>
      <c r="D26" s="76"/>
      <c r="E26" s="289"/>
      <c r="F26" s="333"/>
      <c r="G26" s="234" t="s">
        <v>4</v>
      </c>
      <c r="H26" s="333"/>
      <c r="I26" s="289"/>
      <c r="J26" s="289"/>
      <c r="K26" s="289"/>
      <c r="L26" s="122" t="s">
        <v>835</v>
      </c>
      <c r="M26" s="294"/>
      <c r="N26" s="294"/>
      <c r="O26" s="122"/>
      <c r="P26" s="146" t="str">
        <f t="shared" ref="P26:P34" si="19">IF(Q26="RR","RR all shades in same room"," ")</f>
        <v xml:space="preserve"> </v>
      </c>
      <c r="Q26" s="312" t="str">
        <f t="shared" ref="Q26:Q34" si="20">IF(D26&gt;0,IF(F26&gt;117,"RR","V")," ")</f>
        <v xml:space="preserve"> </v>
      </c>
      <c r="R26" s="294"/>
      <c r="S26" s="370"/>
      <c r="T26" s="318"/>
      <c r="U26" s="96">
        <f t="shared" si="1"/>
        <v>0</v>
      </c>
      <c r="V26" s="236">
        <f t="shared" si="11"/>
        <v>0</v>
      </c>
      <c r="W26" s="97">
        <f t="shared" si="2"/>
        <v>0</v>
      </c>
      <c r="X26" s="98">
        <f t="shared" si="3"/>
        <v>0</v>
      </c>
      <c r="Y26" s="98">
        <f t="shared" si="4"/>
        <v>0</v>
      </c>
      <c r="Z26" s="98">
        <f t="shared" si="5"/>
        <v>0</v>
      </c>
      <c r="AA26" s="231">
        <f t="shared" si="6"/>
        <v>0</v>
      </c>
      <c r="AB26" s="313"/>
      <c r="AC26" s="231">
        <f t="shared" si="7"/>
        <v>0</v>
      </c>
      <c r="AD26" s="98">
        <f t="shared" si="8"/>
        <v>0</v>
      </c>
      <c r="AE26" s="314">
        <f t="shared" si="12"/>
        <v>0</v>
      </c>
      <c r="AH26" s="367" t="str">
        <f t="shared" si="13"/>
        <v xml:space="preserve"> </v>
      </c>
      <c r="AI26" s="367" t="str">
        <f t="shared" si="14"/>
        <v xml:space="preserve"> </v>
      </c>
      <c r="AJ26" s="279">
        <f t="shared" si="15"/>
        <v>0</v>
      </c>
      <c r="AK26" s="279">
        <f t="shared" si="16"/>
        <v>0</v>
      </c>
      <c r="AL26" s="279">
        <f t="shared" si="17"/>
        <v>0</v>
      </c>
      <c r="AM26" s="4"/>
      <c r="AO26" s="264"/>
      <c r="AP26" s="487" t="s">
        <v>819</v>
      </c>
      <c r="AQ26" s="488"/>
      <c r="AR26" s="272"/>
      <c r="AS26" s="232"/>
      <c r="AV26" s="306">
        <f t="shared" si="9"/>
        <v>0</v>
      </c>
      <c r="AW26" s="282"/>
      <c r="AX26" s="260"/>
      <c r="AZ26" s="305">
        <f t="shared" si="10"/>
        <v>0</v>
      </c>
      <c r="BA26" s="4"/>
      <c r="BB26" s="223" t="s">
        <v>805</v>
      </c>
      <c r="BC26" s="224"/>
    </row>
    <row r="27" spans="1:61" ht="14.1" customHeight="1" x14ac:dyDescent="0.2">
      <c r="A27" t="s">
        <v>41</v>
      </c>
      <c r="B27" s="50" t="str">
        <f>HLOOKUP($Q$5,'Data Sheet'!$B$2:$BA$23,14,FALSE)</f>
        <v>A13</v>
      </c>
      <c r="C27" s="336"/>
      <c r="D27" s="76"/>
      <c r="E27" s="289"/>
      <c r="F27" s="333"/>
      <c r="G27" s="234" t="s">
        <v>4</v>
      </c>
      <c r="H27" s="333"/>
      <c r="I27" s="289"/>
      <c r="J27" s="289"/>
      <c r="K27" s="289"/>
      <c r="L27" s="122" t="s">
        <v>835</v>
      </c>
      <c r="M27" s="294"/>
      <c r="N27" s="294"/>
      <c r="O27" s="122"/>
      <c r="P27" s="146" t="str">
        <f t="shared" si="19"/>
        <v xml:space="preserve"> </v>
      </c>
      <c r="Q27" s="312" t="str">
        <f t="shared" si="20"/>
        <v xml:space="preserve"> </v>
      </c>
      <c r="R27" s="294"/>
      <c r="S27" s="427"/>
      <c r="T27" s="318"/>
      <c r="U27" s="96">
        <f t="shared" si="1"/>
        <v>0</v>
      </c>
      <c r="V27" s="236">
        <f t="shared" si="11"/>
        <v>0</v>
      </c>
      <c r="W27" s="97">
        <f t="shared" si="2"/>
        <v>0</v>
      </c>
      <c r="X27" s="98">
        <f t="shared" si="3"/>
        <v>0</v>
      </c>
      <c r="Y27" s="98">
        <f t="shared" si="4"/>
        <v>0</v>
      </c>
      <c r="Z27" s="98">
        <f t="shared" si="5"/>
        <v>0</v>
      </c>
      <c r="AA27" s="231">
        <f t="shared" si="6"/>
        <v>0</v>
      </c>
      <c r="AB27" s="313"/>
      <c r="AC27" s="231">
        <f t="shared" si="7"/>
        <v>0</v>
      </c>
      <c r="AD27" s="98">
        <f t="shared" si="8"/>
        <v>0</v>
      </c>
      <c r="AE27" s="314">
        <f t="shared" si="12"/>
        <v>0</v>
      </c>
      <c r="AH27" s="367" t="str">
        <f t="shared" si="13"/>
        <v xml:space="preserve"> </v>
      </c>
      <c r="AI27" s="367" t="str">
        <f t="shared" si="14"/>
        <v xml:space="preserve"> </v>
      </c>
      <c r="AJ27" s="279">
        <f t="shared" si="15"/>
        <v>0</v>
      </c>
      <c r="AK27" s="279">
        <f t="shared" si="16"/>
        <v>0</v>
      </c>
      <c r="AL27" s="279">
        <f t="shared" si="17"/>
        <v>0</v>
      </c>
      <c r="AM27" s="4"/>
      <c r="AO27" s="264"/>
      <c r="AP27" s="489"/>
      <c r="AQ27" s="490"/>
      <c r="AR27" s="272"/>
      <c r="AS27" s="232"/>
      <c r="AV27" s="306">
        <f t="shared" si="9"/>
        <v>0</v>
      </c>
      <c r="AW27" s="282"/>
      <c r="AX27" s="274" t="s">
        <v>772</v>
      </c>
      <c r="AZ27" s="305">
        <f t="shared" si="10"/>
        <v>0</v>
      </c>
      <c r="BA27" s="4"/>
      <c r="BB27" s="76">
        <f>SUMIFS('Data Sheet'!$T$27:$T$46,'Data Sheet'!$V$27:$V$46,1,'Data Sheet'!$X$27:$X$46,'Data Sheet'!$E$42)</f>
        <v>0</v>
      </c>
      <c r="BC27" s="224"/>
    </row>
    <row r="28" spans="1:61" ht="14.1" customHeight="1" x14ac:dyDescent="0.25">
      <c r="A28" t="s">
        <v>42</v>
      </c>
      <c r="B28" s="50" t="str">
        <f>HLOOKUP($Q$5,'Data Sheet'!$B$2:$BA$23,15,FALSE)</f>
        <v>A14</v>
      </c>
      <c r="C28" s="336"/>
      <c r="D28" s="76"/>
      <c r="E28" s="289"/>
      <c r="F28" s="333"/>
      <c r="G28" s="234" t="s">
        <v>4</v>
      </c>
      <c r="H28" s="333"/>
      <c r="I28" s="289"/>
      <c r="J28" s="289"/>
      <c r="K28" s="289"/>
      <c r="L28" s="122" t="s">
        <v>835</v>
      </c>
      <c r="M28" s="294"/>
      <c r="N28" s="294"/>
      <c r="O28" s="122"/>
      <c r="P28" s="146" t="str">
        <f t="shared" si="19"/>
        <v xml:space="preserve"> </v>
      </c>
      <c r="Q28" s="312" t="str">
        <f t="shared" si="20"/>
        <v xml:space="preserve"> </v>
      </c>
      <c r="R28" s="294"/>
      <c r="S28" s="370"/>
      <c r="T28" s="318"/>
      <c r="U28" s="96">
        <f t="shared" si="1"/>
        <v>0</v>
      </c>
      <c r="V28" s="236">
        <f t="shared" si="11"/>
        <v>0</v>
      </c>
      <c r="W28" s="97">
        <f t="shared" si="2"/>
        <v>0</v>
      </c>
      <c r="X28" s="98">
        <f t="shared" si="3"/>
        <v>0</v>
      </c>
      <c r="Y28" s="98">
        <f t="shared" si="4"/>
        <v>0</v>
      </c>
      <c r="Z28" s="98">
        <f t="shared" si="5"/>
        <v>0</v>
      </c>
      <c r="AA28" s="231">
        <f t="shared" si="6"/>
        <v>0</v>
      </c>
      <c r="AB28" s="313"/>
      <c r="AC28" s="231">
        <f t="shared" si="7"/>
        <v>0</v>
      </c>
      <c r="AD28" s="98">
        <f t="shared" si="8"/>
        <v>0</v>
      </c>
      <c r="AE28" s="314">
        <f t="shared" si="12"/>
        <v>0</v>
      </c>
      <c r="AH28" s="367" t="str">
        <f t="shared" si="13"/>
        <v xml:space="preserve"> </v>
      </c>
      <c r="AI28" s="367" t="str">
        <f t="shared" si="14"/>
        <v xml:space="preserve"> </v>
      </c>
      <c r="AJ28" s="279">
        <f t="shared" si="15"/>
        <v>0</v>
      </c>
      <c r="AK28" s="279">
        <f t="shared" si="16"/>
        <v>0</v>
      </c>
      <c r="AL28" s="279">
        <f t="shared" si="17"/>
        <v>0</v>
      </c>
      <c r="AM28" s="4"/>
      <c r="AO28" s="264"/>
      <c r="AP28" s="489"/>
      <c r="AQ28" s="490"/>
      <c r="AR28" s="272"/>
      <c r="AS28" s="232"/>
      <c r="AT28" s="346" t="s">
        <v>847</v>
      </c>
      <c r="AV28" s="306">
        <f t="shared" si="9"/>
        <v>0</v>
      </c>
      <c r="AW28" s="282"/>
      <c r="AX28" s="279">
        <f>SUMIF('Data Sheet'!$Q$27:$Q$46,$AX$27,'Data Sheet'!$R$27:$R$46)/192</f>
        <v>0</v>
      </c>
      <c r="AZ28" s="305">
        <f t="shared" si="10"/>
        <v>0</v>
      </c>
      <c r="BA28" s="4"/>
      <c r="BB28" s="223" t="s">
        <v>806</v>
      </c>
      <c r="BC28" s="224"/>
    </row>
    <row r="29" spans="1:61" ht="14.1" customHeight="1" x14ac:dyDescent="0.2">
      <c r="A29" t="s">
        <v>43</v>
      </c>
      <c r="B29" s="50" t="str">
        <f>HLOOKUP($Q$5,'Data Sheet'!$B$2:$BA$23,16,FALSE)</f>
        <v>A15</v>
      </c>
      <c r="C29" s="225"/>
      <c r="D29" s="76"/>
      <c r="E29" s="289"/>
      <c r="F29" s="333"/>
      <c r="G29" s="234" t="s">
        <v>4</v>
      </c>
      <c r="H29" s="333"/>
      <c r="I29" s="289"/>
      <c r="J29" s="289"/>
      <c r="K29" s="289"/>
      <c r="L29" s="122" t="s">
        <v>835</v>
      </c>
      <c r="M29" s="294"/>
      <c r="N29" s="294"/>
      <c r="O29" s="122"/>
      <c r="P29" s="146" t="str">
        <f t="shared" si="19"/>
        <v xml:space="preserve"> </v>
      </c>
      <c r="Q29" s="312" t="str">
        <f t="shared" si="20"/>
        <v xml:space="preserve"> </v>
      </c>
      <c r="R29" s="294"/>
      <c r="S29" s="427"/>
      <c r="T29" s="318"/>
      <c r="U29" s="96">
        <f t="shared" si="1"/>
        <v>0</v>
      </c>
      <c r="V29" s="236">
        <f t="shared" si="11"/>
        <v>0</v>
      </c>
      <c r="W29" s="97">
        <f t="shared" si="2"/>
        <v>0</v>
      </c>
      <c r="X29" s="98">
        <f t="shared" si="3"/>
        <v>0</v>
      </c>
      <c r="Y29" s="98">
        <f t="shared" si="4"/>
        <v>0</v>
      </c>
      <c r="Z29" s="98">
        <f t="shared" si="5"/>
        <v>0</v>
      </c>
      <c r="AA29" s="231">
        <f t="shared" si="6"/>
        <v>0</v>
      </c>
      <c r="AB29" s="313"/>
      <c r="AC29" s="231">
        <f t="shared" si="7"/>
        <v>0</v>
      </c>
      <c r="AD29" s="98">
        <f t="shared" si="8"/>
        <v>0</v>
      </c>
      <c r="AE29" s="314">
        <f t="shared" si="12"/>
        <v>0</v>
      </c>
      <c r="AH29" s="367" t="str">
        <f t="shared" si="13"/>
        <v xml:space="preserve"> </v>
      </c>
      <c r="AI29" s="367" t="str">
        <f t="shared" si="14"/>
        <v xml:space="preserve"> </v>
      </c>
      <c r="AJ29" s="279">
        <f t="shared" si="15"/>
        <v>0</v>
      </c>
      <c r="AK29" s="279">
        <f t="shared" si="16"/>
        <v>0</v>
      </c>
      <c r="AL29" s="279">
        <f t="shared" si="17"/>
        <v>0</v>
      </c>
      <c r="AM29" s="4"/>
      <c r="AO29" s="264"/>
      <c r="AP29" s="489"/>
      <c r="AQ29" s="490"/>
      <c r="AR29" s="272"/>
      <c r="AS29" s="232"/>
      <c r="AV29" s="306">
        <f t="shared" si="9"/>
        <v>0</v>
      </c>
      <c r="AW29" s="282"/>
      <c r="AX29" s="274" t="s">
        <v>773</v>
      </c>
      <c r="AZ29" s="305">
        <f t="shared" si="10"/>
        <v>0</v>
      </c>
      <c r="BA29" s="4"/>
      <c r="BB29" s="76">
        <f>SUMIFS('Data Sheet'!$T$27:$T$46,'Data Sheet'!$V$27:$V$46,1,'Data Sheet'!$X$27:$X$46,'Data Sheet'!$E$43)</f>
        <v>0</v>
      </c>
      <c r="BC29" s="224"/>
    </row>
    <row r="30" spans="1:61" ht="14.1" customHeight="1" x14ac:dyDescent="0.2">
      <c r="A30" t="s">
        <v>44</v>
      </c>
      <c r="B30" s="50" t="str">
        <f>HLOOKUP($Q$5,'Data Sheet'!$B$2:$BA$23,17,FALSE)</f>
        <v>A16</v>
      </c>
      <c r="C30" s="225"/>
      <c r="D30" s="76"/>
      <c r="E30" s="289"/>
      <c r="F30" s="333"/>
      <c r="G30" s="234" t="s">
        <v>4</v>
      </c>
      <c r="H30" s="333"/>
      <c r="I30" s="289"/>
      <c r="J30" s="289"/>
      <c r="K30" s="289"/>
      <c r="L30" s="122" t="s">
        <v>835</v>
      </c>
      <c r="M30" s="370"/>
      <c r="N30" s="370"/>
      <c r="O30" s="225"/>
      <c r="P30" s="146" t="str">
        <f t="shared" si="19"/>
        <v xml:space="preserve"> </v>
      </c>
      <c r="Q30" s="312" t="str">
        <f t="shared" si="20"/>
        <v xml:space="preserve"> </v>
      </c>
      <c r="R30" s="294"/>
      <c r="S30" s="370"/>
      <c r="T30" s="318"/>
      <c r="U30" s="96">
        <f t="shared" si="1"/>
        <v>0</v>
      </c>
      <c r="V30" s="236">
        <f t="shared" si="11"/>
        <v>0</v>
      </c>
      <c r="W30" s="97">
        <f t="shared" si="2"/>
        <v>0</v>
      </c>
      <c r="X30" s="98">
        <f t="shared" si="3"/>
        <v>0</v>
      </c>
      <c r="Y30" s="98">
        <f t="shared" si="4"/>
        <v>0</v>
      </c>
      <c r="Z30" s="98">
        <f t="shared" si="5"/>
        <v>0</v>
      </c>
      <c r="AA30" s="231">
        <f t="shared" si="6"/>
        <v>0</v>
      </c>
      <c r="AB30" s="313"/>
      <c r="AC30" s="231">
        <f t="shared" si="7"/>
        <v>0</v>
      </c>
      <c r="AD30" s="98">
        <f t="shared" si="8"/>
        <v>0</v>
      </c>
      <c r="AE30" s="314">
        <f t="shared" si="12"/>
        <v>0</v>
      </c>
      <c r="AH30" s="367" t="str">
        <f t="shared" si="13"/>
        <v xml:space="preserve"> </v>
      </c>
      <c r="AI30" s="367" t="str">
        <f t="shared" si="14"/>
        <v xml:space="preserve"> </v>
      </c>
      <c r="AJ30" s="279">
        <f t="shared" si="15"/>
        <v>0</v>
      </c>
      <c r="AK30" s="279">
        <f t="shared" si="16"/>
        <v>0</v>
      </c>
      <c r="AL30" s="279">
        <f t="shared" si="17"/>
        <v>0</v>
      </c>
      <c r="AM30" s="4"/>
      <c r="AO30" s="264"/>
      <c r="AP30" s="489"/>
      <c r="AQ30" s="490"/>
      <c r="AR30" s="272"/>
      <c r="AS30" s="232"/>
      <c r="AT30" s="279">
        <f>'Data Sheet'!N47/216</f>
        <v>1.0844907407407407</v>
      </c>
      <c r="AV30" s="306">
        <f t="shared" si="9"/>
        <v>0</v>
      </c>
      <c r="AW30" s="282"/>
      <c r="AX30" s="279">
        <f>SUMIF('Data Sheet'!$Q$27:$Q$46,$AX$29,'Data Sheet'!$R$27:$R$46)/192</f>
        <v>0</v>
      </c>
      <c r="AZ30" s="305">
        <f t="shared" si="10"/>
        <v>0</v>
      </c>
      <c r="BA30" s="4"/>
      <c r="BB30" s="223" t="s">
        <v>807</v>
      </c>
      <c r="BC30" s="224"/>
    </row>
    <row r="31" spans="1:61" ht="14.1" customHeight="1" x14ac:dyDescent="0.2">
      <c r="A31" t="s">
        <v>45</v>
      </c>
      <c r="B31" s="50" t="str">
        <f>HLOOKUP($Q$5,'Data Sheet'!$B$2:$BA$23,18,FALSE)</f>
        <v>A17</v>
      </c>
      <c r="C31" s="225"/>
      <c r="D31" s="76"/>
      <c r="E31" s="289"/>
      <c r="F31" s="333"/>
      <c r="G31" s="234" t="s">
        <v>4</v>
      </c>
      <c r="H31" s="333"/>
      <c r="I31" s="289"/>
      <c r="J31" s="289"/>
      <c r="K31" s="289"/>
      <c r="L31" s="122" t="s">
        <v>835</v>
      </c>
      <c r="M31" s="294"/>
      <c r="N31" s="294"/>
      <c r="O31" s="122"/>
      <c r="P31" s="146" t="str">
        <f t="shared" si="19"/>
        <v xml:space="preserve"> </v>
      </c>
      <c r="Q31" s="312" t="str">
        <f t="shared" si="20"/>
        <v xml:space="preserve"> </v>
      </c>
      <c r="R31" s="245"/>
      <c r="S31" s="370"/>
      <c r="T31" s="318"/>
      <c r="U31" s="96">
        <f t="shared" si="1"/>
        <v>0</v>
      </c>
      <c r="V31" s="236">
        <f t="shared" si="11"/>
        <v>0</v>
      </c>
      <c r="W31" s="97">
        <f t="shared" si="2"/>
        <v>0</v>
      </c>
      <c r="X31" s="98">
        <f t="shared" si="3"/>
        <v>0</v>
      </c>
      <c r="Y31" s="98">
        <f t="shared" si="4"/>
        <v>0</v>
      </c>
      <c r="Z31" s="98">
        <f t="shared" si="5"/>
        <v>0</v>
      </c>
      <c r="AA31" s="231">
        <f t="shared" si="6"/>
        <v>0</v>
      </c>
      <c r="AB31" s="313"/>
      <c r="AC31" s="231">
        <f t="shared" si="7"/>
        <v>0</v>
      </c>
      <c r="AD31" s="98">
        <f t="shared" si="8"/>
        <v>0</v>
      </c>
      <c r="AE31" s="314">
        <f t="shared" si="12"/>
        <v>0</v>
      </c>
      <c r="AH31" s="367" t="str">
        <f t="shared" si="13"/>
        <v xml:space="preserve"> </v>
      </c>
      <c r="AI31" s="367" t="str">
        <f t="shared" si="14"/>
        <v xml:space="preserve"> </v>
      </c>
      <c r="AJ31" s="279">
        <f t="shared" si="15"/>
        <v>0</v>
      </c>
      <c r="AK31" s="279">
        <f t="shared" si="16"/>
        <v>0</v>
      </c>
      <c r="AL31" s="279">
        <f t="shared" si="17"/>
        <v>0</v>
      </c>
      <c r="AM31" s="4"/>
      <c r="AO31" s="264"/>
      <c r="AP31" s="489"/>
      <c r="AQ31" s="490"/>
      <c r="AR31" s="272"/>
      <c r="AS31" s="232"/>
      <c r="AV31" s="306">
        <f t="shared" si="9"/>
        <v>0</v>
      </c>
      <c r="AW31" s="282"/>
      <c r="AX31" s="274" t="s">
        <v>774</v>
      </c>
      <c r="AZ31" s="305">
        <f t="shared" si="10"/>
        <v>0</v>
      </c>
      <c r="BA31" s="4"/>
      <c r="BB31" s="76">
        <f>SUMIFS('Data Sheet'!$T$27:$T$46,'Data Sheet'!$V$27:$V$46,1,'Data Sheet'!$X$27:$X$46,'Data Sheet'!$E$44)</f>
        <v>0</v>
      </c>
      <c r="BC31" s="224"/>
    </row>
    <row r="32" spans="1:61" ht="14.1" customHeight="1" x14ac:dyDescent="0.2">
      <c r="A32" t="s">
        <v>46</v>
      </c>
      <c r="B32" s="50" t="str">
        <f>HLOOKUP($Q$5,'Data Sheet'!$B$2:$BA$23,19,FALSE)</f>
        <v>A18</v>
      </c>
      <c r="C32" s="336"/>
      <c r="D32" s="76"/>
      <c r="E32" s="289"/>
      <c r="F32" s="333"/>
      <c r="G32" s="234" t="s">
        <v>4</v>
      </c>
      <c r="H32" s="333"/>
      <c r="I32" s="289"/>
      <c r="J32" s="289"/>
      <c r="K32" s="289"/>
      <c r="L32" s="122" t="s">
        <v>835</v>
      </c>
      <c r="M32" s="294"/>
      <c r="N32" s="294"/>
      <c r="O32" s="122"/>
      <c r="P32" s="146" t="str">
        <f t="shared" si="19"/>
        <v xml:space="preserve"> </v>
      </c>
      <c r="Q32" s="312" t="str">
        <f t="shared" si="20"/>
        <v xml:space="preserve"> </v>
      </c>
      <c r="R32" s="245"/>
      <c r="S32" s="370"/>
      <c r="T32" s="318"/>
      <c r="U32" s="96">
        <f t="shared" si="1"/>
        <v>0</v>
      </c>
      <c r="V32" s="236">
        <f t="shared" si="11"/>
        <v>0</v>
      </c>
      <c r="W32" s="97">
        <f t="shared" si="2"/>
        <v>0</v>
      </c>
      <c r="X32" s="98">
        <f t="shared" si="3"/>
        <v>0</v>
      </c>
      <c r="Y32" s="98">
        <f t="shared" si="4"/>
        <v>0</v>
      </c>
      <c r="Z32" s="98">
        <f t="shared" si="5"/>
        <v>0</v>
      </c>
      <c r="AA32" s="231">
        <f t="shared" si="6"/>
        <v>0</v>
      </c>
      <c r="AB32" s="313"/>
      <c r="AC32" s="231">
        <f t="shared" si="7"/>
        <v>0</v>
      </c>
      <c r="AD32" s="98">
        <f t="shared" si="8"/>
        <v>0</v>
      </c>
      <c r="AE32" s="314">
        <f t="shared" si="12"/>
        <v>0</v>
      </c>
      <c r="AH32" s="367" t="str">
        <f t="shared" si="13"/>
        <v xml:space="preserve"> </v>
      </c>
      <c r="AI32" s="367" t="str">
        <f t="shared" si="14"/>
        <v xml:space="preserve"> </v>
      </c>
      <c r="AJ32" s="279">
        <f t="shared" si="15"/>
        <v>0</v>
      </c>
      <c r="AK32" s="279">
        <f t="shared" si="16"/>
        <v>0</v>
      </c>
      <c r="AL32" s="279">
        <f t="shared" si="17"/>
        <v>0</v>
      </c>
      <c r="AM32" s="4"/>
      <c r="AO32" s="264"/>
      <c r="AP32" s="491"/>
      <c r="AQ32" s="492"/>
      <c r="AR32" s="272"/>
      <c r="AS32" s="232"/>
      <c r="AV32" s="306">
        <f t="shared" si="9"/>
        <v>0</v>
      </c>
      <c r="AW32" s="282"/>
      <c r="AX32" s="279">
        <f>SUMIF('Data Sheet'!$Q$27:$Q$46,$AX$31,'Data Sheet'!$R$27:$R$46)/192</f>
        <v>0</v>
      </c>
      <c r="AZ32" s="305">
        <f t="shared" si="10"/>
        <v>0</v>
      </c>
      <c r="BA32" s="4"/>
      <c r="BB32" s="223" t="s">
        <v>808</v>
      </c>
      <c r="BC32" s="224"/>
    </row>
    <row r="33" spans="1:59" ht="14.1" customHeight="1" x14ac:dyDescent="0.2">
      <c r="A33" t="s">
        <v>47</v>
      </c>
      <c r="B33" s="50" t="str">
        <f>HLOOKUP($Q$5,'Data Sheet'!$B$2:$BA$23,20,FALSE)</f>
        <v>A19</v>
      </c>
      <c r="C33" s="336"/>
      <c r="D33" s="76"/>
      <c r="E33" s="289"/>
      <c r="F33" s="333"/>
      <c r="G33" s="234" t="s">
        <v>4</v>
      </c>
      <c r="H33" s="333"/>
      <c r="I33" s="289"/>
      <c r="J33" s="289"/>
      <c r="K33" s="289"/>
      <c r="L33" s="122" t="s">
        <v>835</v>
      </c>
      <c r="M33" s="294"/>
      <c r="N33" s="294"/>
      <c r="O33" s="122"/>
      <c r="P33" s="146" t="str">
        <f t="shared" si="19"/>
        <v xml:space="preserve"> </v>
      </c>
      <c r="Q33" s="312" t="str">
        <f t="shared" si="20"/>
        <v xml:space="preserve"> </v>
      </c>
      <c r="R33" s="245"/>
      <c r="S33" s="370"/>
      <c r="T33" s="318"/>
      <c r="U33" s="96">
        <f t="shared" si="1"/>
        <v>0</v>
      </c>
      <c r="V33" s="236">
        <f t="shared" si="11"/>
        <v>0</v>
      </c>
      <c r="W33" s="97">
        <f t="shared" si="2"/>
        <v>0</v>
      </c>
      <c r="X33" s="98">
        <f t="shared" si="3"/>
        <v>0</v>
      </c>
      <c r="Y33" s="98">
        <f t="shared" si="4"/>
        <v>0</v>
      </c>
      <c r="Z33" s="98">
        <f t="shared" si="5"/>
        <v>0</v>
      </c>
      <c r="AA33" s="231">
        <f t="shared" si="6"/>
        <v>0</v>
      </c>
      <c r="AB33" s="313"/>
      <c r="AC33" s="231">
        <f t="shared" si="7"/>
        <v>0</v>
      </c>
      <c r="AD33" s="98">
        <f t="shared" si="8"/>
        <v>0</v>
      </c>
      <c r="AE33" s="314">
        <f t="shared" si="12"/>
        <v>0</v>
      </c>
      <c r="AH33" s="367" t="str">
        <f t="shared" si="13"/>
        <v xml:space="preserve"> </v>
      </c>
      <c r="AI33" s="367" t="str">
        <f t="shared" si="14"/>
        <v xml:space="preserve"> </v>
      </c>
      <c r="AJ33" s="279">
        <f t="shared" si="15"/>
        <v>0</v>
      </c>
      <c r="AK33" s="279">
        <f t="shared" si="16"/>
        <v>0</v>
      </c>
      <c r="AL33" s="279">
        <f t="shared" si="17"/>
        <v>0</v>
      </c>
      <c r="AM33" s="4"/>
      <c r="AO33" s="264"/>
      <c r="AP33" s="304"/>
      <c r="AQ33" s="304"/>
      <c r="AR33" s="272"/>
      <c r="AS33" s="232"/>
      <c r="AV33" s="306">
        <f t="shared" si="9"/>
        <v>0</v>
      </c>
      <c r="AW33" s="282"/>
      <c r="AX33" s="274" t="s">
        <v>775</v>
      </c>
      <c r="AZ33" s="305">
        <f t="shared" si="10"/>
        <v>0</v>
      </c>
      <c r="BA33" s="4"/>
      <c r="BB33" s="76">
        <f>SUMIFS('Data Sheet'!$T$27:$T$46,'Data Sheet'!$V$27:$V$46,1,'Data Sheet'!$X$27:$X$46,'Data Sheet'!$E$45)</f>
        <v>0</v>
      </c>
      <c r="BC33" s="224"/>
    </row>
    <row r="34" spans="1:59" ht="14.1" customHeight="1" thickBot="1" x14ac:dyDescent="0.25">
      <c r="A34" t="s">
        <v>48</v>
      </c>
      <c r="B34" s="50" t="str">
        <f>HLOOKUP($Q$5,'Data Sheet'!$B$2:$BA$23,21,FALSE)</f>
        <v>A20</v>
      </c>
      <c r="C34" s="336"/>
      <c r="D34" s="76"/>
      <c r="E34" s="289"/>
      <c r="F34" s="333"/>
      <c r="G34" s="234" t="s">
        <v>4</v>
      </c>
      <c r="H34" s="333"/>
      <c r="I34" s="289"/>
      <c r="J34" s="289"/>
      <c r="K34" s="289"/>
      <c r="L34" s="122" t="s">
        <v>835</v>
      </c>
      <c r="M34" s="294"/>
      <c r="N34" s="294"/>
      <c r="O34" s="122"/>
      <c r="P34" s="146" t="str">
        <f t="shared" si="19"/>
        <v xml:space="preserve"> </v>
      </c>
      <c r="Q34" s="312" t="str">
        <f t="shared" si="20"/>
        <v xml:space="preserve"> </v>
      </c>
      <c r="R34" s="246"/>
      <c r="S34" s="370"/>
      <c r="T34" s="318"/>
      <c r="U34" s="316">
        <f t="shared" si="1"/>
        <v>0</v>
      </c>
      <c r="V34" s="231">
        <f t="shared" si="11"/>
        <v>0</v>
      </c>
      <c r="W34" s="97">
        <f t="shared" si="2"/>
        <v>0</v>
      </c>
      <c r="X34" s="98">
        <f t="shared" si="3"/>
        <v>0</v>
      </c>
      <c r="Y34" s="98">
        <f t="shared" si="4"/>
        <v>0</v>
      </c>
      <c r="Z34" s="98">
        <f t="shared" si="5"/>
        <v>0</v>
      </c>
      <c r="AA34" s="231">
        <f t="shared" si="6"/>
        <v>0</v>
      </c>
      <c r="AB34" s="313"/>
      <c r="AC34" s="231">
        <f t="shared" si="7"/>
        <v>0</v>
      </c>
      <c r="AD34" s="98">
        <f t="shared" si="8"/>
        <v>0</v>
      </c>
      <c r="AE34" s="314">
        <f t="shared" si="12"/>
        <v>0</v>
      </c>
      <c r="AH34" s="367" t="str">
        <f t="shared" si="13"/>
        <v xml:space="preserve"> </v>
      </c>
      <c r="AI34" s="367" t="str">
        <f t="shared" si="14"/>
        <v xml:space="preserve"> </v>
      </c>
      <c r="AJ34" s="279">
        <f t="shared" si="15"/>
        <v>0</v>
      </c>
      <c r="AK34" s="279">
        <f t="shared" si="16"/>
        <v>0</v>
      </c>
      <c r="AL34" s="279">
        <f t="shared" si="17"/>
        <v>0</v>
      </c>
      <c r="AM34" s="4"/>
      <c r="AO34" s="266"/>
      <c r="AP34" s="308"/>
      <c r="AQ34" s="308"/>
      <c r="AR34" s="273"/>
      <c r="AS34" s="233"/>
      <c r="AT34" s="267"/>
      <c r="AU34" s="267"/>
      <c r="AV34" s="306">
        <f t="shared" si="9"/>
        <v>0</v>
      </c>
      <c r="AW34" s="282"/>
      <c r="AX34" s="279">
        <f>SUMIF('Data Sheet'!$Q$27:$Q$46,$AX$33,'Data Sheet'!$R$27:$R$46)/192</f>
        <v>0</v>
      </c>
      <c r="AZ34" s="305">
        <f t="shared" si="10"/>
        <v>0</v>
      </c>
      <c r="BA34" s="4"/>
      <c r="BC34" s="224"/>
    </row>
    <row r="35" spans="1:59" s="7" customFormat="1" ht="15.75" thickBot="1" x14ac:dyDescent="0.3">
      <c r="B35" s="77"/>
      <c r="C35" s="486">
        <f>SUM(D15:D34)</f>
        <v>6</v>
      </c>
      <c r="D35" s="486"/>
      <c r="E35" s="7" t="s">
        <v>8</v>
      </c>
      <c r="F35" s="79"/>
      <c r="G35" s="78"/>
      <c r="H35" s="79"/>
      <c r="V35" s="80" t="s">
        <v>6</v>
      </c>
      <c r="X35" s="80">
        <f t="shared" ref="X35:AD35" si="21">SUM(X15:X34)</f>
        <v>1597.6625000000001</v>
      </c>
      <c r="Y35" s="80">
        <f t="shared" si="21"/>
        <v>0</v>
      </c>
      <c r="Z35" s="80">
        <f t="shared" si="21"/>
        <v>1128</v>
      </c>
      <c r="AA35" s="80">
        <f t="shared" si="21"/>
        <v>0</v>
      </c>
      <c r="AB35" s="80">
        <f>SUM(AB15:AB34)</f>
        <v>9600</v>
      </c>
      <c r="AC35" s="80">
        <f t="shared" si="21"/>
        <v>108</v>
      </c>
      <c r="AD35" s="80">
        <f t="shared" si="21"/>
        <v>169.2</v>
      </c>
      <c r="AE35" s="100">
        <f>SUM(X35:AD35)+X38</f>
        <v>12602.862500000001</v>
      </c>
      <c r="AH35"/>
      <c r="AI35"/>
      <c r="AJ35" s="6"/>
      <c r="AK35" s="6"/>
      <c r="AL35" s="6"/>
      <c r="AM35" s="78"/>
      <c r="AO35"/>
      <c r="AP35" s="303"/>
      <c r="AQ35" s="303"/>
      <c r="AR35" s="274"/>
      <c r="AS35" s="274"/>
      <c r="AT35" s="274"/>
      <c r="AU35" s="274"/>
      <c r="AV35" s="307">
        <f>SUM(AV15:AV34)/12</f>
        <v>22.458333333333332</v>
      </c>
      <c r="AW35" s="286"/>
      <c r="AX35" s="287"/>
      <c r="AY35" s="288"/>
      <c r="AZ35" s="307">
        <f>SUM(AZ15:AZ34)/12</f>
        <v>69</v>
      </c>
      <c r="BA35" s="274"/>
      <c r="BB35" s="274"/>
      <c r="BC35" s="285"/>
      <c r="BD35" s="274"/>
      <c r="BE35" s="6"/>
      <c r="BF35" s="274"/>
      <c r="BG35" s="274"/>
    </row>
    <row r="36" spans="1:59" ht="15.05" x14ac:dyDescent="0.25">
      <c r="B36" s="74" t="s">
        <v>81</v>
      </c>
      <c r="C36" s="7"/>
      <c r="D36" s="78"/>
      <c r="E36" s="75"/>
      <c r="F36" s="79"/>
      <c r="G36" s="78"/>
      <c r="H36" s="335"/>
      <c r="I36" s="7"/>
      <c r="P36" s="7"/>
      <c r="Q36" s="495" t="s">
        <v>186</v>
      </c>
      <c r="R36" s="496"/>
      <c r="S36" s="497"/>
      <c r="T36" s="292"/>
      <c r="U36" s="124"/>
      <c r="V36" s="124"/>
      <c r="W36" s="125"/>
      <c r="X36"/>
      <c r="Y36" s="126"/>
      <c r="Z36" s="126"/>
      <c r="AA36" s="126"/>
      <c r="AB36" s="126"/>
      <c r="AC36" s="126"/>
      <c r="AD36" s="127" t="s">
        <v>9</v>
      </c>
      <c r="AE36" s="99">
        <f>AE11</f>
        <v>0</v>
      </c>
      <c r="AP36" s="303"/>
      <c r="AQ36" s="303"/>
      <c r="AT36" s="223"/>
      <c r="AU36" s="223"/>
      <c r="AV36" s="223" t="s">
        <v>237</v>
      </c>
      <c r="AW36" s="223"/>
      <c r="AY36" s="223"/>
      <c r="AZ36" s="224" t="s">
        <v>237</v>
      </c>
      <c r="BA36" s="283"/>
      <c r="BB36" s="223" t="s">
        <v>809</v>
      </c>
      <c r="BC36" s="284"/>
      <c r="BD36" s="223"/>
      <c r="BE36" s="274"/>
      <c r="BF36" s="223"/>
      <c r="BG36" s="223"/>
    </row>
    <row r="37" spans="1:59" ht="15.05" customHeight="1" x14ac:dyDescent="0.25">
      <c r="E37" s="75" t="s">
        <v>80</v>
      </c>
      <c r="Q37" s="482" t="s">
        <v>78</v>
      </c>
      <c r="R37" s="483"/>
      <c r="S37" s="484"/>
      <c r="T37" s="292"/>
      <c r="V37" s="126"/>
      <c r="W37" s="126"/>
      <c r="X37" s="126"/>
      <c r="Y37" s="126"/>
      <c r="Z37" s="126"/>
      <c r="AA37" s="126"/>
      <c r="AB37" s="126"/>
      <c r="AC37" s="126"/>
      <c r="AD37" s="127" t="s">
        <v>10</v>
      </c>
      <c r="AE37" s="99">
        <f>AE12</f>
        <v>0</v>
      </c>
      <c r="AT37" s="260"/>
      <c r="AU37" s="260"/>
      <c r="AX37" s="274"/>
      <c r="BA37" s="283"/>
      <c r="BB37" s="76">
        <f>SUMIFS('Data Sheet'!$T$27:$T$46,'Data Sheet'!$W$27:$W$46,1,'Data Sheet'!$X$27:$X$46,'Data Sheet'!$E$42)</f>
        <v>0</v>
      </c>
      <c r="BC37" s="224"/>
      <c r="BE37" s="223"/>
    </row>
    <row r="38" spans="1:59" ht="15.05" customHeight="1" thickBot="1" x14ac:dyDescent="0.25">
      <c r="C38" s="81" t="s">
        <v>82</v>
      </c>
      <c r="D38" s="2"/>
      <c r="E38" s="2"/>
      <c r="F38" s="105"/>
      <c r="H38" s="6"/>
      <c r="Q38" s="485" t="s">
        <v>787</v>
      </c>
      <c r="R38" s="485"/>
      <c r="S38" s="485"/>
      <c r="T38" s="293"/>
      <c r="V38" s="126"/>
      <c r="W38" s="58" t="s">
        <v>828</v>
      </c>
      <c r="X38" s="338">
        <v>0</v>
      </c>
      <c r="Y38" s="339" t="s">
        <v>18</v>
      </c>
      <c r="Z38" s="126"/>
      <c r="AA38" s="126"/>
      <c r="AB38" s="126"/>
      <c r="AC38" s="126"/>
      <c r="AD38" s="127" t="s">
        <v>176</v>
      </c>
      <c r="AE38" s="99">
        <f>SUM(AE35:AE37)</f>
        <v>12602.862500000001</v>
      </c>
      <c r="AR38" s="223"/>
      <c r="AS38" s="223"/>
      <c r="AT38" s="223"/>
      <c r="AU38" s="223"/>
      <c r="AX38" s="223"/>
      <c r="BA38" s="283"/>
      <c r="BB38" s="223" t="s">
        <v>810</v>
      </c>
      <c r="BC38" s="224"/>
    </row>
    <row r="39" spans="1:59" ht="15.05" customHeight="1" thickBot="1" x14ac:dyDescent="0.35">
      <c r="C39" s="106" t="s">
        <v>67</v>
      </c>
      <c r="D39" s="107"/>
      <c r="E39" s="107"/>
      <c r="F39" s="108"/>
      <c r="H39" s="6"/>
      <c r="L39" s="500" t="s">
        <v>188</v>
      </c>
      <c r="M39" s="501"/>
      <c r="N39" s="501"/>
      <c r="O39" s="371" t="s">
        <v>1425</v>
      </c>
      <c r="Q39" s="485"/>
      <c r="R39" s="485"/>
      <c r="S39" s="485"/>
      <c r="T39" s="293"/>
      <c r="V39" s="126"/>
      <c r="W39" s="126"/>
      <c r="X39" s="126"/>
      <c r="Y39" s="340" t="s">
        <v>829</v>
      </c>
      <c r="Z39" s="126"/>
      <c r="AA39" s="82" t="str">
        <f>IF(AC39=0,"Exempt",IF(AE8,"Materials Only",""))</f>
        <v>Exempt</v>
      </c>
      <c r="AB39" s="82"/>
      <c r="AC39" s="128">
        <f>AE9</f>
        <v>0</v>
      </c>
      <c r="AD39" s="127" t="s">
        <v>174</v>
      </c>
      <c r="AE39" s="218">
        <f>IF(AE8=TRUE,(AE35-AC35)*AC39,AE35*AC39)</f>
        <v>0</v>
      </c>
      <c r="BA39" s="283"/>
      <c r="BB39" s="76">
        <f>SUMIFS('Data Sheet'!$T$27:$T$46,'Data Sheet'!$W$27:$W$46,1,'Data Sheet'!$X$27:$X$46,'Data Sheet'!$E$43)</f>
        <v>0</v>
      </c>
      <c r="BC39" s="224"/>
    </row>
    <row r="40" spans="1:59" ht="15.05" customHeight="1" x14ac:dyDescent="0.25">
      <c r="C40" s="247" t="s">
        <v>760</v>
      </c>
      <c r="D40" s="248"/>
      <c r="E40" s="249"/>
      <c r="F40" s="250"/>
      <c r="Q40" s="7"/>
      <c r="R40" s="7"/>
      <c r="S40" s="7"/>
      <c r="T40" s="7"/>
      <c r="V40" s="126"/>
      <c r="W40" s="126"/>
      <c r="X40" s="126"/>
      <c r="Y40" s="126"/>
      <c r="Z40" s="126"/>
      <c r="AA40" s="126"/>
      <c r="AB40" s="126"/>
      <c r="AC40" s="126"/>
      <c r="AD40" s="129" t="s">
        <v>175</v>
      </c>
      <c r="AE40" s="99">
        <f>SUM(AE38:AE39)</f>
        <v>12602.862500000001</v>
      </c>
      <c r="AR40" s="303"/>
      <c r="AS40" s="303"/>
      <c r="BA40" s="283"/>
      <c r="BB40" s="223" t="s">
        <v>811</v>
      </c>
      <c r="BC40" s="224"/>
    </row>
    <row r="41" spans="1:59" ht="15.05" customHeight="1" x14ac:dyDescent="0.25">
      <c r="C41" s="109" t="s">
        <v>68</v>
      </c>
      <c r="D41" s="110"/>
      <c r="E41" s="111"/>
      <c r="F41" s="112"/>
      <c r="V41" s="126"/>
      <c r="W41" s="126"/>
      <c r="X41" s="126"/>
      <c r="Y41" s="126"/>
      <c r="Z41" s="126"/>
      <c r="AO41" s="7"/>
      <c r="AR41" s="303"/>
      <c r="AS41" s="303"/>
      <c r="AT41" s="304"/>
      <c r="BA41" s="283"/>
      <c r="BB41" s="76">
        <f>SUMIFS('Data Sheet'!$T$27:$T$46,'Data Sheet'!$W$27:$W$46,1,'Data Sheet'!$X$27:$X$46,'Data Sheet'!$E$44)</f>
        <v>0</v>
      </c>
      <c r="BC41" s="224"/>
    </row>
    <row r="42" spans="1:59" x14ac:dyDescent="0.2">
      <c r="AR42" s="303"/>
      <c r="AS42" s="303"/>
      <c r="AT42" s="304"/>
      <c r="BA42" s="283"/>
      <c r="BB42" s="223" t="s">
        <v>812</v>
      </c>
      <c r="BC42" s="224"/>
    </row>
    <row r="43" spans="1:59" x14ac:dyDescent="0.2">
      <c r="AR43" s="303"/>
      <c r="AS43" s="303"/>
      <c r="AT43" s="304"/>
      <c r="BA43" s="283"/>
      <c r="BB43" s="76">
        <f>SUMIFS('Data Sheet'!$T$27:$T$46,'Data Sheet'!$W$27:$W$46,1,'Data Sheet'!$X$27:$X$46,'Data Sheet'!$E$45)</f>
        <v>0</v>
      </c>
      <c r="BC43" s="224"/>
    </row>
    <row r="44" spans="1:59" ht="13.1" thickBot="1" x14ac:dyDescent="0.25">
      <c r="AR44" s="303"/>
      <c r="AS44" s="303"/>
      <c r="AT44" s="304"/>
      <c r="BA44" s="302"/>
      <c r="BB44" s="267"/>
      <c r="BC44" s="278"/>
    </row>
    <row r="45" spans="1:59" x14ac:dyDescent="0.2">
      <c r="AR45" s="303"/>
      <c r="AS45" s="303"/>
      <c r="AT45" s="304"/>
    </row>
    <row r="50" spans="1:80" x14ac:dyDescent="0.2">
      <c r="AA50"/>
      <c r="AB50"/>
      <c r="AC50" s="4"/>
      <c r="AD50"/>
      <c r="AE50" s="6"/>
    </row>
    <row r="51" spans="1:80" x14ac:dyDescent="0.2">
      <c r="C51" s="132"/>
      <c r="H51" s="6"/>
      <c r="J51" s="4"/>
      <c r="L51" s="6"/>
      <c r="M51" s="6"/>
      <c r="O51" s="4"/>
      <c r="Q51" s="6"/>
      <c r="S51" s="4"/>
      <c r="T51" s="4"/>
      <c r="V51" s="6"/>
      <c r="W51"/>
      <c r="X51" s="4"/>
      <c r="Y51"/>
      <c r="Z51" s="6"/>
      <c r="AN51" s="4"/>
      <c r="AO51" s="4"/>
      <c r="AX51" s="4"/>
      <c r="AY51" s="4"/>
      <c r="BH51" s="4"/>
      <c r="BJ51" s="6"/>
      <c r="BL51" s="4"/>
      <c r="BN51" s="6"/>
      <c r="BP51" s="4"/>
      <c r="BR51" s="6"/>
      <c r="BT51" s="4"/>
      <c r="BV51" s="6"/>
      <c r="BX51" s="4"/>
      <c r="BZ51" s="6"/>
      <c r="CB51" s="4"/>
    </row>
    <row r="52" spans="1:80" x14ac:dyDescent="0.2">
      <c r="A52" s="133"/>
    </row>
  </sheetData>
  <dataConsolidate/>
  <mergeCells count="23">
    <mergeCell ref="Q37:S37"/>
    <mergeCell ref="Q38:S39"/>
    <mergeCell ref="C35:D35"/>
    <mergeCell ref="AP26:AQ32"/>
    <mergeCell ref="D9:H9"/>
    <mergeCell ref="D10:H10"/>
    <mergeCell ref="D11:H11"/>
    <mergeCell ref="D12:H12"/>
    <mergeCell ref="Q36:S36"/>
    <mergeCell ref="L9:O9"/>
    <mergeCell ref="L10:O10"/>
    <mergeCell ref="L11:O11"/>
    <mergeCell ref="L12:O12"/>
    <mergeCell ref="L39:N39"/>
    <mergeCell ref="Q7:S7"/>
    <mergeCell ref="D5:H5"/>
    <mergeCell ref="D6:H6"/>
    <mergeCell ref="D7:H7"/>
    <mergeCell ref="D8:H8"/>
    <mergeCell ref="L5:O5"/>
    <mergeCell ref="L6:O6"/>
    <mergeCell ref="L7:O7"/>
    <mergeCell ref="L8:O8"/>
  </mergeCells>
  <phoneticPr fontId="5" type="noConversion"/>
  <conditionalFormatting sqref="D15:D34">
    <cfRule type="cellIs" dxfId="7" priority="1" stopIfTrue="1" operator="greaterThan">
      <formula>1</formula>
    </cfRule>
  </conditionalFormatting>
  <conditionalFormatting sqref="E15:E34">
    <cfRule type="expression" dxfId="6" priority="2" stopIfTrue="1">
      <formula>$D15&gt;1</formula>
    </cfRule>
  </conditionalFormatting>
  <conditionalFormatting sqref="Q7:S7">
    <cfRule type="containsBlanks" dxfId="5" priority="8">
      <formula>LEN(TRIM(Q7))=0</formula>
    </cfRule>
  </conditionalFormatting>
  <conditionalFormatting sqref="AT16 AQ17 AX17 BB17 BE17 BH17 AT18 AQ19 AX19 BB19 AQ21 AX21 BB21 AQ23 AT23 AX23 BB23 AT25 BB27 AX28 BB29 AX30 BB31 AX32 BB33 AX34 BB37 BB39 BB41 BB43">
    <cfRule type="cellIs" dxfId="4" priority="12" operator="greaterThan">
      <formula>0</formula>
    </cfRule>
  </conditionalFormatting>
  <conditionalFormatting sqref="AT30">
    <cfRule type="cellIs" dxfId="3" priority="7" operator="greaterThan">
      <formula>0</formula>
    </cfRule>
  </conditionalFormatting>
  <conditionalFormatting sqref="AV35 AZ35">
    <cfRule type="cellIs" dxfId="2" priority="6" operator="greaterThan">
      <formula>0</formula>
    </cfRule>
  </conditionalFormatting>
  <dataValidations count="3">
    <dataValidation type="list" allowBlank="1" showInputMessage="1" sqref="AB6:AB9" xr:uid="{D4975E2D-19ED-4310-AEF3-3AAE4A879312}">
      <formula1>$O$15:$O$34</formula1>
    </dataValidation>
    <dataValidation allowBlank="1" showInputMessage="1" showErrorMessage="1" promptTitle="Only 1" prompt="Please enter only 1 shade per line." sqref="D15" xr:uid="{2589FCAE-6551-49D2-A934-B91F3C788015}"/>
    <dataValidation type="list" allowBlank="1" showInputMessage="1" showErrorMessage="1" sqref="Y38" xr:uid="{51237D58-B499-40F0-8F87-715DD96F414D}">
      <formula1>$V$14:$AD$14</formula1>
    </dataValidation>
  </dataValidations>
  <hyperlinks>
    <hyperlink ref="D12" r:id="rId1" xr:uid="{9D716EFE-494B-459A-BBBB-D7AFF5011D51}"/>
    <hyperlink ref="L12" r:id="rId2" xr:uid="{AFA10DAC-E963-4E8D-B8D8-05AE57CFE501}"/>
  </hyperlinks>
  <pageMargins left="0.5" right="0.5" top="0.5" bottom="0.5" header="0.25" footer="0.25"/>
  <pageSetup scale="85" fitToWidth="2" orientation="landscape" r:id="rId3"/>
  <headerFooter alignWithMargins="0">
    <oddHeader>&amp;Z&amp;F</oddHeader>
  </headerFooter>
  <colBreaks count="1" manualBreakCount="1">
    <brk id="20" max="46" man="1"/>
  </col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6" name="Check Box 2">
              <controlPr defaultSize="0" autoFill="0" autoLine="0" autoPict="0">
                <anchor moveWithCells="1">
                  <from>
                    <xdr:col>30</xdr:col>
                    <xdr:colOff>24938</xdr:colOff>
                    <xdr:row>6</xdr:row>
                    <xdr:rowOff>141316</xdr:rowOff>
                  </from>
                  <to>
                    <xdr:col>31</xdr:col>
                    <xdr:colOff>58189</xdr:colOff>
                    <xdr:row>8</xdr:row>
                    <xdr:rowOff>16625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7" name="Group Box 8">
              <controlPr defaultSize="0" autoFill="0" autoPict="0">
                <anchor moveWithCells="1">
                  <from>
                    <xdr:col>15</xdr:col>
                    <xdr:colOff>955964</xdr:colOff>
                    <xdr:row>7</xdr:row>
                    <xdr:rowOff>133004</xdr:rowOff>
                  </from>
                  <to>
                    <xdr:col>17</xdr:col>
                    <xdr:colOff>324196</xdr:colOff>
                    <xdr:row>10</xdr:row>
                    <xdr:rowOff>157942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8" name="Option Button 9">
              <controlPr defaultSize="0" autoFill="0" autoLine="0" autoPict="0">
                <anchor moveWithCells="1">
                  <from>
                    <xdr:col>15</xdr:col>
                    <xdr:colOff>1022465</xdr:colOff>
                    <xdr:row>8</xdr:row>
                    <xdr:rowOff>24938</xdr:rowOff>
                  </from>
                  <to>
                    <xdr:col>15</xdr:col>
                    <xdr:colOff>1620982</xdr:colOff>
                    <xdr:row>9</xdr:row>
                    <xdr:rowOff>74815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9" name="Option Button 10">
              <controlPr defaultSize="0" autoFill="0" autoLine="0" autoPict="0">
                <anchor moveWithCells="1">
                  <from>
                    <xdr:col>15</xdr:col>
                    <xdr:colOff>1005840</xdr:colOff>
                    <xdr:row>9</xdr:row>
                    <xdr:rowOff>91440</xdr:rowOff>
                  </from>
                  <to>
                    <xdr:col>15</xdr:col>
                    <xdr:colOff>1620982</xdr:colOff>
                    <xdr:row>10</xdr:row>
                    <xdr:rowOff>141316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0" name="Option Button 11">
              <controlPr defaultSize="0" autoFill="0" autoLine="0" autoPict="0">
                <anchor moveWithCells="1">
                  <from>
                    <xdr:col>15</xdr:col>
                    <xdr:colOff>1712422</xdr:colOff>
                    <xdr:row>8</xdr:row>
                    <xdr:rowOff>16625</xdr:rowOff>
                  </from>
                  <to>
                    <xdr:col>17</xdr:col>
                    <xdr:colOff>249382</xdr:colOff>
                    <xdr:row>9</xdr:row>
                    <xdr:rowOff>66502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1" name="Check Box 12">
              <controlPr defaultSize="0" autoFill="0" autoLine="0" autoPict="0">
                <anchor moveWithCells="1">
                  <from>
                    <xdr:col>15</xdr:col>
                    <xdr:colOff>997527</xdr:colOff>
                    <xdr:row>11</xdr:row>
                    <xdr:rowOff>24938</xdr:rowOff>
                  </from>
                  <to>
                    <xdr:col>17</xdr:col>
                    <xdr:colOff>141316</xdr:colOff>
                    <xdr:row>12</xdr:row>
                    <xdr:rowOff>16625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2" name="Check Box 13">
              <controlPr defaultSize="0" autoFill="0" autoLine="0" autoPict="0">
                <anchor moveWithCells="1">
                  <from>
                    <xdr:col>15</xdr:col>
                    <xdr:colOff>997527</xdr:colOff>
                    <xdr:row>11</xdr:row>
                    <xdr:rowOff>24938</xdr:rowOff>
                  </from>
                  <to>
                    <xdr:col>17</xdr:col>
                    <xdr:colOff>141316</xdr:colOff>
                    <xdr:row>12</xdr:row>
                    <xdr:rowOff>16625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65EACA0-901D-4FAE-9EDD-2E055A79133C}">
          <x14:formula1>
            <xm:f>'Data Sheet'!$B$30:$B$33</xm:f>
          </x14:formula1>
          <xm:sqref>E15:E34</xm:sqref>
        </x14:dataValidation>
        <x14:dataValidation type="list" allowBlank="1" showInputMessage="1" showErrorMessage="1" xr:uid="{079F7910-234C-44A2-84FA-50834D4C6071}">
          <x14:formula1>
            <xm:f>'Data Sheet'!$B$37:$B$41</xm:f>
          </x14:formula1>
          <xm:sqref>R15:R34</xm:sqref>
        </x14:dataValidation>
        <x14:dataValidation type="list" allowBlank="1" showInputMessage="1" showErrorMessage="1" xr:uid="{CE1E008F-0674-4B46-9D42-986862A794A7}">
          <x14:formula1>
            <xm:f>'Data Sheet'!$B$2:$BA$2</xm:f>
          </x14:formula1>
          <xm:sqref>Q5</xm:sqref>
        </x14:dataValidation>
        <x14:dataValidation type="list" allowBlank="1" showInputMessage="1" showErrorMessage="1" xr:uid="{2AF5D827-66F5-4D0E-AD09-1CD81EA6D0C2}">
          <x14:formula1>
            <xm:f>'Data Sheet'!$B$43:$B$44</xm:f>
          </x14:formula1>
          <xm:sqref>J15:J34 S15:S34</xm:sqref>
        </x14:dataValidation>
        <x14:dataValidation type="list" allowBlank="1" showInputMessage="1" showErrorMessage="1" xr:uid="{6ACF465B-64B1-4E64-9790-EAE5B46B9138}">
          <x14:formula1>
            <xm:f>'Data Sheet'!$E$42:$E$46</xm:f>
          </x14:formula1>
          <xm:sqref>K15:K34</xm:sqref>
        </x14:dataValidation>
        <x14:dataValidation type="list" allowBlank="1" showInputMessage="1" showErrorMessage="1" xr:uid="{332DE6BC-16EB-4EF0-90BF-0A9F15AD29D6}">
          <x14:formula1>
            <xm:f>'Data Sheet'!$B$48:$B$50</xm:f>
          </x14:formula1>
          <xm:sqref>T15:T34</xm:sqref>
        </x14:dataValidation>
        <x14:dataValidation type="list" allowBlank="1" showInputMessage="1" showErrorMessage="1" xr:uid="{639848B8-7CEF-45A4-9334-0B12151C08F4}">
          <x14:formula1>
            <xm:f>'Data Sheet'!$B$56:$B$57</xm:f>
          </x14:formula1>
          <xm:sqref>I15:I34</xm:sqref>
        </x14:dataValidation>
        <x14:dataValidation type="list" allowBlank="1" showInputMessage="1" showErrorMessage="1" xr:uid="{45FE3C09-5E7C-4F55-A369-5BE5B138D306}">
          <x14:formula1>
            <xm:f>'Data Sheet'!$B$52:$B$54</xm:f>
          </x14:formula1>
          <xm:sqref>M15:N34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4D418-4B44-40CD-9E7F-46CBD08BEA36}">
  <dimension ref="A2:BQ126"/>
  <sheetViews>
    <sheetView showGridLines="0" tabSelected="1" view="pageBreakPreview" zoomScale="18" zoomScaleNormal="100" zoomScaleSheetLayoutView="18" zoomScalePageLayoutView="70" workbookViewId="0">
      <selection activeCell="S4" sqref="S4:AE15"/>
    </sheetView>
  </sheetViews>
  <sheetFormatPr defaultColWidth="9.125" defaultRowHeight="17.7" x14ac:dyDescent="0.3"/>
  <cols>
    <col min="1" max="1" width="11.375" style="372" customWidth="1"/>
    <col min="2" max="2" width="10.125" style="372" customWidth="1"/>
    <col min="3" max="3" width="20.75" style="103" customWidth="1"/>
    <col min="4" max="4" width="26.375" style="103" customWidth="1"/>
    <col min="5" max="5" width="3.625" style="103" customWidth="1"/>
    <col min="6" max="6" width="14" style="103" customWidth="1"/>
    <col min="7" max="7" width="13.75" style="103" customWidth="1"/>
    <col min="8" max="8" width="18.75" style="103" customWidth="1"/>
    <col min="9" max="9" width="14.125" style="103" customWidth="1"/>
    <col min="10" max="10" width="20.75" style="103" customWidth="1"/>
    <col min="11" max="11" width="26.375" style="103" customWidth="1"/>
    <col min="12" max="12" width="3.625" style="103" customWidth="1"/>
    <col min="13" max="13" width="14" style="103" customWidth="1"/>
    <col min="14" max="14" width="13.75" style="103" customWidth="1"/>
    <col min="15" max="15" width="18.75" style="103" customWidth="1"/>
    <col min="16" max="16" width="12.75" style="103" customWidth="1"/>
    <col min="17" max="17" width="11.375" style="372" customWidth="1"/>
    <col min="18" max="18" width="10.125" style="372" customWidth="1"/>
    <col min="19" max="19" width="20.75" style="103" customWidth="1"/>
    <col min="20" max="20" width="26.375" style="103" customWidth="1"/>
    <col min="21" max="21" width="3.625" style="103" customWidth="1"/>
    <col min="22" max="22" width="14" style="103" customWidth="1"/>
    <col min="23" max="23" width="13.75" style="103" customWidth="1"/>
    <col min="24" max="24" width="18.75" style="103" customWidth="1"/>
    <col min="25" max="25" width="14.125" style="103" customWidth="1"/>
    <col min="26" max="26" width="20.75" style="103" customWidth="1"/>
    <col min="27" max="27" width="26.375" style="103" customWidth="1"/>
    <col min="28" max="28" width="3.625" style="103" customWidth="1"/>
    <col min="29" max="29" width="14" style="103" customWidth="1"/>
    <col min="30" max="30" width="13.75" style="103" customWidth="1"/>
    <col min="31" max="31" width="18.75" style="103" customWidth="1"/>
    <col min="32" max="32" width="9.125" style="103"/>
    <col min="33" max="33" width="11.375" style="372" customWidth="1"/>
    <col min="34" max="34" width="10.125" style="372" customWidth="1"/>
    <col min="35" max="35" width="20.75" style="103" customWidth="1"/>
    <col min="36" max="36" width="26.375" style="103" customWidth="1"/>
    <col min="37" max="37" width="3.625" style="103" customWidth="1"/>
    <col min="38" max="38" width="14" style="103" customWidth="1"/>
    <col min="39" max="39" width="13.75" style="103" customWidth="1"/>
    <col min="40" max="40" width="18.75" style="103" customWidth="1"/>
    <col min="41" max="41" width="14.125" style="103" customWidth="1"/>
    <col min="42" max="42" width="20.75" style="103" customWidth="1"/>
    <col min="43" max="43" width="26.375" style="103" customWidth="1"/>
    <col min="44" max="44" width="3.625" style="103" customWidth="1"/>
    <col min="45" max="45" width="14" style="103" customWidth="1"/>
    <col min="46" max="46" width="13.75" style="103" customWidth="1"/>
    <col min="47" max="47" width="18.75" style="103" customWidth="1"/>
    <col min="48" max="48" width="9.125" style="103"/>
    <col min="49" max="49" width="11.375" style="372" customWidth="1"/>
    <col min="50" max="50" width="10.125" style="372" customWidth="1"/>
    <col min="51" max="51" width="20.75" style="103" customWidth="1"/>
    <col min="52" max="52" width="26.375" style="103" customWidth="1"/>
    <col min="53" max="53" width="3.625" style="103" customWidth="1"/>
    <col min="54" max="54" width="14" style="103" customWidth="1"/>
    <col min="55" max="55" width="13.75" style="103" customWidth="1"/>
    <col min="56" max="56" width="18.75" style="103" customWidth="1"/>
    <col min="57" max="57" width="14.125" style="103" customWidth="1"/>
    <col min="58" max="58" width="20.75" style="103" customWidth="1"/>
    <col min="59" max="59" width="26.375" style="103" customWidth="1"/>
    <col min="60" max="60" width="3.625" style="103" customWidth="1"/>
    <col min="61" max="61" width="14" style="103" customWidth="1"/>
    <col min="62" max="62" width="13.75" style="103" customWidth="1"/>
    <col min="63" max="63" width="18.75" style="103" customWidth="1"/>
    <col min="64" max="16384" width="9.125" style="103"/>
  </cols>
  <sheetData>
    <row r="2" spans="1:63" ht="29.3" customHeight="1" x14ac:dyDescent="0.4">
      <c r="C2" s="373" t="s">
        <v>79</v>
      </c>
      <c r="I2" s="374"/>
      <c r="J2" s="373" t="s">
        <v>79</v>
      </c>
      <c r="S2" s="373" t="s">
        <v>79</v>
      </c>
      <c r="Y2" s="374"/>
      <c r="Z2" s="373" t="s">
        <v>79</v>
      </c>
      <c r="AI2" s="373" t="s">
        <v>79</v>
      </c>
      <c r="AO2" s="374"/>
      <c r="AP2" s="373" t="s">
        <v>79</v>
      </c>
      <c r="AY2" s="373" t="s">
        <v>79</v>
      </c>
      <c r="BE2" s="374"/>
      <c r="BF2" s="373" t="s">
        <v>79</v>
      </c>
    </row>
    <row r="3" spans="1:63" ht="38.299999999999997" customHeight="1" thickBot="1" x14ac:dyDescent="0.4">
      <c r="B3" s="372" t="s">
        <v>1387</v>
      </c>
      <c r="C3" s="375"/>
      <c r="H3" s="376"/>
      <c r="J3" s="375"/>
      <c r="O3" s="376"/>
      <c r="R3" s="372" t="s">
        <v>1387</v>
      </c>
      <c r="S3" s="375"/>
      <c r="X3" s="376"/>
      <c r="Z3" s="375"/>
      <c r="AE3" s="376"/>
      <c r="AH3" s="372" t="s">
        <v>1387</v>
      </c>
      <c r="AI3" s="375"/>
      <c r="AN3" s="376"/>
      <c r="AP3" s="375"/>
      <c r="AU3" s="376"/>
      <c r="AX3" s="372" t="s">
        <v>1387</v>
      </c>
      <c r="AY3" s="375"/>
      <c r="BD3" s="376"/>
      <c r="BF3" s="375"/>
    </row>
    <row r="4" spans="1:63" ht="20.95" customHeight="1" thickBot="1" x14ac:dyDescent="0.35">
      <c r="A4" s="372" t="s">
        <v>205</v>
      </c>
      <c r="B4" s="372">
        <v>15</v>
      </c>
      <c r="C4" s="377" t="s">
        <v>20</v>
      </c>
      <c r="D4" s="508">
        <f>+jobnumber</f>
        <v>30894</v>
      </c>
      <c r="E4" s="509"/>
      <c r="F4" s="509"/>
      <c r="G4" s="510"/>
      <c r="H4" s="511" t="str" cm="1">
        <f t="array" aca="1" ref="H4" ca="1">INDIRECT("Worksheet!$B"&amp;B4)</f>
        <v>A1</v>
      </c>
      <c r="J4" s="377" t="s">
        <v>20</v>
      </c>
      <c r="K4" s="378">
        <f>+jobnumber</f>
        <v>30894</v>
      </c>
      <c r="L4" s="379"/>
      <c r="M4" s="379"/>
      <c r="N4" s="379"/>
      <c r="O4" s="511" t="str">
        <f ca="1">H4</f>
        <v>A1</v>
      </c>
      <c r="Q4" s="372" t="s">
        <v>51</v>
      </c>
      <c r="R4" s="372">
        <v>20</v>
      </c>
      <c r="S4" s="377" t="s">
        <v>20</v>
      </c>
      <c r="T4" s="508">
        <f>+jobnumber</f>
        <v>30894</v>
      </c>
      <c r="U4" s="509"/>
      <c r="V4" s="509"/>
      <c r="W4" s="510"/>
      <c r="X4" s="511" t="str" cm="1">
        <f t="array" aca="1" ref="X4" ca="1">INDIRECT("Worksheet!$B"&amp;R4)</f>
        <v>A6</v>
      </c>
      <c r="Z4" s="377" t="s">
        <v>20</v>
      </c>
      <c r="AA4" s="378">
        <f>+jobnumber</f>
        <v>30894</v>
      </c>
      <c r="AB4" s="379"/>
      <c r="AC4" s="379"/>
      <c r="AD4" s="379"/>
      <c r="AE4" s="511" t="str">
        <f ca="1">X4</f>
        <v>A6</v>
      </c>
      <c r="AG4" s="372" t="s">
        <v>57</v>
      </c>
      <c r="AH4" s="372">
        <v>25</v>
      </c>
      <c r="AI4" s="377" t="s">
        <v>20</v>
      </c>
      <c r="AJ4" s="508">
        <f>+jobnumber</f>
        <v>30894</v>
      </c>
      <c r="AK4" s="509"/>
      <c r="AL4" s="509"/>
      <c r="AM4" s="510"/>
      <c r="AN4" s="511" t="str" cm="1">
        <f t="array" aca="1" ref="AN4" ca="1">INDIRECT("Worksheet!$B"&amp;AH4)</f>
        <v>A11</v>
      </c>
      <c r="AP4" s="377" t="s">
        <v>20</v>
      </c>
      <c r="AQ4" s="378">
        <f>+jobnumber</f>
        <v>30894</v>
      </c>
      <c r="AR4" s="379"/>
      <c r="AS4" s="379"/>
      <c r="AT4" s="379"/>
      <c r="AU4" s="511" t="str">
        <f ca="1">AN4</f>
        <v>A11</v>
      </c>
      <c r="AW4" s="372" t="s">
        <v>62</v>
      </c>
      <c r="AX4" s="372">
        <v>30</v>
      </c>
      <c r="AY4" s="377" t="s">
        <v>20</v>
      </c>
      <c r="AZ4" s="508">
        <f>+jobnumber</f>
        <v>30894</v>
      </c>
      <c r="BA4" s="509"/>
      <c r="BB4" s="509"/>
      <c r="BC4" s="510"/>
      <c r="BD4" s="511" t="str" cm="1">
        <f t="array" aca="1" ref="BD4" ca="1">INDIRECT("Worksheet!$B"&amp;AX4)</f>
        <v>A16</v>
      </c>
      <c r="BF4" s="377" t="s">
        <v>20</v>
      </c>
      <c r="BG4" s="378">
        <f>+jobnumber</f>
        <v>30894</v>
      </c>
      <c r="BH4" s="379"/>
      <c r="BI4" s="379"/>
      <c r="BJ4" s="379"/>
      <c r="BK4" s="511" t="str">
        <f ca="1">BD4</f>
        <v>A16</v>
      </c>
    </row>
    <row r="5" spans="1:63" s="381" customFormat="1" ht="20.95" customHeight="1" thickBot="1" x14ac:dyDescent="0.35">
      <c r="A5" s="372"/>
      <c r="B5" s="372"/>
      <c r="C5" s="380" t="s">
        <v>21</v>
      </c>
      <c r="D5" s="513" t="str">
        <f>+_xlfn.SINGLE(Bill_Name)</f>
        <v>Westland Construction</v>
      </c>
      <c r="E5" s="514"/>
      <c r="F5" s="514"/>
      <c r="G5" s="515"/>
      <c r="H5" s="512" cm="1">
        <f t="array" aca="1" ref="H5" ca="1">INDIRECT("Worksheet!$C"&amp;$B$4)</f>
        <v>134</v>
      </c>
      <c r="J5" s="380" t="s">
        <v>21</v>
      </c>
      <c r="K5" s="382" t="str">
        <f>+_xlfn.SINGLE(Bill_Name)</f>
        <v>Westland Construction</v>
      </c>
      <c r="L5" s="383"/>
      <c r="M5" s="383"/>
      <c r="N5" s="383"/>
      <c r="O5" s="512"/>
      <c r="Q5" s="372"/>
      <c r="R5" s="372"/>
      <c r="S5" s="380" t="s">
        <v>21</v>
      </c>
      <c r="T5" s="513" t="str">
        <f>+_xlfn.SINGLE(Bill_Name)</f>
        <v>Westland Construction</v>
      </c>
      <c r="U5" s="514"/>
      <c r="V5" s="514"/>
      <c r="W5" s="515"/>
      <c r="X5" s="512"/>
      <c r="Z5" s="380" t="s">
        <v>21</v>
      </c>
      <c r="AA5" s="382" t="str">
        <f>+_xlfn.SINGLE(Bill_Name)</f>
        <v>Westland Construction</v>
      </c>
      <c r="AB5" s="383"/>
      <c r="AC5" s="383"/>
      <c r="AD5" s="383"/>
      <c r="AE5" s="512"/>
      <c r="AG5" s="372"/>
      <c r="AH5" s="372"/>
      <c r="AI5" s="380" t="s">
        <v>21</v>
      </c>
      <c r="AJ5" s="513" t="str">
        <f>+_xlfn.SINGLE(Bill_Name)</f>
        <v>Westland Construction</v>
      </c>
      <c r="AK5" s="514"/>
      <c r="AL5" s="514"/>
      <c r="AM5" s="515"/>
      <c r="AN5" s="512"/>
      <c r="AP5" s="380" t="s">
        <v>21</v>
      </c>
      <c r="AQ5" s="382" t="str">
        <f>+_xlfn.SINGLE(Bill_Name)</f>
        <v>Westland Construction</v>
      </c>
      <c r="AR5" s="383"/>
      <c r="AS5" s="383"/>
      <c r="AT5" s="383"/>
      <c r="AU5" s="512"/>
      <c r="AW5" s="372"/>
      <c r="AX5" s="372"/>
      <c r="AY5" s="380" t="s">
        <v>21</v>
      </c>
      <c r="AZ5" s="513" t="str">
        <f>+_xlfn.SINGLE(Bill_Name)</f>
        <v>Westland Construction</v>
      </c>
      <c r="BA5" s="514"/>
      <c r="BB5" s="514"/>
      <c r="BC5" s="515"/>
      <c r="BD5" s="512"/>
      <c r="BF5" s="380" t="s">
        <v>21</v>
      </c>
      <c r="BG5" s="382" t="str">
        <f>+_xlfn.SINGLE(Bill_Name)</f>
        <v>Westland Construction</v>
      </c>
      <c r="BH5" s="383"/>
      <c r="BI5" s="383"/>
      <c r="BJ5" s="383"/>
      <c r="BK5" s="512"/>
    </row>
    <row r="6" spans="1:63" s="381" customFormat="1" ht="20.95" customHeight="1" x14ac:dyDescent="0.3">
      <c r="A6" s="372"/>
      <c r="B6" s="372"/>
      <c r="C6" s="384" t="s">
        <v>74</v>
      </c>
      <c r="D6" s="519" t="str">
        <f>+jobname</f>
        <v>Pago Pago Temple Endowment Change Order</v>
      </c>
      <c r="E6" s="520"/>
      <c r="F6" s="520"/>
      <c r="G6" s="520"/>
      <c r="H6" s="521"/>
      <c r="J6" s="385" t="s">
        <v>74</v>
      </c>
      <c r="K6" s="386" t="str">
        <f>+jobname</f>
        <v>Pago Pago Temple Endowment Change Order</v>
      </c>
      <c r="L6" s="387"/>
      <c r="M6" s="387"/>
      <c r="N6" s="387"/>
      <c r="O6" s="388"/>
      <c r="Q6" s="372"/>
      <c r="R6" s="372"/>
      <c r="S6" s="384" t="s">
        <v>74</v>
      </c>
      <c r="T6" s="519" t="str">
        <f>+jobname</f>
        <v>Pago Pago Temple Endowment Change Order</v>
      </c>
      <c r="U6" s="520"/>
      <c r="V6" s="520"/>
      <c r="W6" s="520"/>
      <c r="X6" s="521"/>
      <c r="Z6" s="385" t="s">
        <v>74</v>
      </c>
      <c r="AA6" s="386" t="str">
        <f>+jobname</f>
        <v>Pago Pago Temple Endowment Change Order</v>
      </c>
      <c r="AB6" s="387"/>
      <c r="AC6" s="387"/>
      <c r="AD6" s="387"/>
      <c r="AE6" s="388"/>
      <c r="AG6" s="372" t="s">
        <v>77</v>
      </c>
      <c r="AH6" s="372"/>
      <c r="AI6" s="384" t="s">
        <v>74</v>
      </c>
      <c r="AJ6" s="519" t="str">
        <f>+jobname</f>
        <v>Pago Pago Temple Endowment Change Order</v>
      </c>
      <c r="AK6" s="520"/>
      <c r="AL6" s="520"/>
      <c r="AM6" s="520"/>
      <c r="AN6" s="521"/>
      <c r="AP6" s="385" t="s">
        <v>74</v>
      </c>
      <c r="AQ6" s="386" t="str">
        <f>+jobname</f>
        <v>Pago Pago Temple Endowment Change Order</v>
      </c>
      <c r="AR6" s="387"/>
      <c r="AS6" s="387"/>
      <c r="AT6" s="387"/>
      <c r="AU6" s="388"/>
      <c r="AW6" s="372"/>
      <c r="AX6" s="372"/>
      <c r="AY6" s="384" t="s">
        <v>74</v>
      </c>
      <c r="AZ6" s="519" t="str">
        <f>+jobname</f>
        <v>Pago Pago Temple Endowment Change Order</v>
      </c>
      <c r="BA6" s="520"/>
      <c r="BB6" s="520"/>
      <c r="BC6" s="520"/>
      <c r="BD6" s="521"/>
      <c r="BF6" s="385" t="s">
        <v>74</v>
      </c>
      <c r="BG6" s="386" t="str">
        <f>+jobname</f>
        <v>Pago Pago Temple Endowment Change Order</v>
      </c>
      <c r="BH6" s="387"/>
      <c r="BI6" s="387"/>
      <c r="BJ6" s="387"/>
      <c r="BK6" s="388"/>
    </row>
    <row r="7" spans="1:63" s="381" customFormat="1" ht="20.95" customHeight="1" x14ac:dyDescent="0.3">
      <c r="A7" s="372"/>
      <c r="B7" s="372"/>
      <c r="C7" s="389" t="s">
        <v>22</v>
      </c>
      <c r="D7" s="390" cm="1">
        <f t="array" aca="1" ref="D7" ca="1">INDIRECT("Worksheet!$C"&amp;B4)</f>
        <v>134</v>
      </c>
      <c r="H7" s="391" t="str">
        <f>+IF(Worksheet!$Q$9=1,"Install",IF(Worksheet!$Q$9=2,"Deliver",IF(Worksheet!$Q$9=3,"Will Call",0)))</f>
        <v>Install</v>
      </c>
      <c r="J7" s="389" t="s">
        <v>22</v>
      </c>
      <c r="K7" s="392">
        <f ca="1">D7</f>
        <v>134</v>
      </c>
      <c r="N7" s="393" t="str">
        <f ca="1">G9</f>
        <v>Motor</v>
      </c>
      <c r="O7" s="394" t="str">
        <f ca="1">H9</f>
        <v>Idler</v>
      </c>
      <c r="Q7" s="372"/>
      <c r="R7" s="372"/>
      <c r="S7" s="389" t="s">
        <v>22</v>
      </c>
      <c r="T7" s="390" cm="1">
        <f t="array" aca="1" ref="T7" ca="1">INDIRECT("Worksheet!$C"&amp;R4)</f>
        <v>140</v>
      </c>
      <c r="X7" s="391" t="str">
        <f>+IF(Worksheet!$Q$9=1,"Install",IF(Worksheet!$Q$9=2,"Deliver",IF(Worksheet!$Q$9=3,"Will Call",0)))</f>
        <v>Install</v>
      </c>
      <c r="Z7" s="389" t="s">
        <v>22</v>
      </c>
      <c r="AA7" s="392">
        <f ca="1">T7</f>
        <v>140</v>
      </c>
      <c r="AD7" s="393" t="str">
        <f ca="1">W9</f>
        <v>Motor</v>
      </c>
      <c r="AE7" s="394" t="str">
        <f ca="1">X9</f>
        <v>Idler</v>
      </c>
      <c r="AG7" s="372"/>
      <c r="AH7" s="372"/>
      <c r="AI7" s="389" t="s">
        <v>22</v>
      </c>
      <c r="AJ7" s="390" cm="1">
        <f t="array" aca="1" ref="AJ7" ca="1">INDIRECT("Worksheet!$C"&amp;AH4)</f>
        <v>0</v>
      </c>
      <c r="AN7" s="391" t="str">
        <f>+IF(Worksheet!$Q$9=1,"Install",IF(Worksheet!$Q$9=2,"Deliver",IF(Worksheet!$Q$9=3,"Will Call",0)))</f>
        <v>Install</v>
      </c>
      <c r="AP7" s="389" t="s">
        <v>22</v>
      </c>
      <c r="AQ7" s="392">
        <f ca="1">AJ7</f>
        <v>0</v>
      </c>
      <c r="AT7" s="393" t="str">
        <f ca="1">AM9</f>
        <v xml:space="preserve"> </v>
      </c>
      <c r="AU7" s="394" t="str">
        <f ca="1">AN9</f>
        <v xml:space="preserve"> </v>
      </c>
      <c r="AW7" s="372"/>
      <c r="AX7" s="372"/>
      <c r="AY7" s="389" t="s">
        <v>22</v>
      </c>
      <c r="AZ7" s="390" cm="1">
        <f t="array" aca="1" ref="AZ7" ca="1">INDIRECT("Worksheet!$C"&amp;AX4)</f>
        <v>0</v>
      </c>
      <c r="BD7" s="391" t="str">
        <f>+IF(Worksheet!$Q$9=1,"Install",IF(Worksheet!$Q$9=2,"Deliver",IF(Worksheet!$Q$9=3,"Will Call",0)))</f>
        <v>Install</v>
      </c>
      <c r="BF7" s="389" t="s">
        <v>22</v>
      </c>
      <c r="BG7" s="392">
        <f ca="1">AZ7</f>
        <v>0</v>
      </c>
      <c r="BJ7" s="393" t="str">
        <f ca="1">BC9</f>
        <v xml:space="preserve"> </v>
      </c>
      <c r="BK7" s="394" t="str">
        <f ca="1">BD9</f>
        <v xml:space="preserve"> </v>
      </c>
    </row>
    <row r="8" spans="1:63" s="381" customFormat="1" ht="20.95" customHeight="1" x14ac:dyDescent="0.3">
      <c r="A8" s="372"/>
      <c r="B8" s="372"/>
      <c r="C8" s="395" t="str" cm="1">
        <f t="array" aca="1" ref="C8" ca="1">+IF(INDIRECT("Worksheet!$D"&amp;B4)&gt;0,INDIRECT("Worksheet!$E"&amp;B4),0)</f>
        <v>Tube 2.375</v>
      </c>
      <c r="D8" s="396" cm="1">
        <f t="array" aca="1" ref="D8" ca="1">INDIRECT("Worksheet!$F"&amp;B4)</f>
        <v>46.375</v>
      </c>
      <c r="E8" s="372" t="s">
        <v>4</v>
      </c>
      <c r="F8" s="397" cm="1">
        <f t="array" aca="1" ref="F8" ca="1">INDIRECT("Worksheet!$H"&amp;B4)</f>
        <v>141</v>
      </c>
      <c r="G8" s="398"/>
      <c r="H8" s="399" t="str" cm="1">
        <f t="array" aca="1" ref="H8" ca="1">INDIRECT("Worksheet!$I"&amp;B4)</f>
        <v>IB</v>
      </c>
      <c r="J8" s="395"/>
      <c r="N8" s="398"/>
      <c r="O8" s="399"/>
      <c r="P8" s="400"/>
      <c r="Q8" s="372" t="s">
        <v>77</v>
      </c>
      <c r="R8" s="372"/>
      <c r="S8" s="395" t="str" cm="1">
        <f t="array" aca="1" ref="S8" ca="1">+IF(INDIRECT("Worksheet!$D"&amp;R4)&gt;0,INDIRECT("Worksheet!$E"&amp;R4),0)</f>
        <v>Tube 2.375</v>
      </c>
      <c r="T8" s="396" cm="1">
        <f t="array" aca="1" ref="T8" ca="1">INDIRECT("Worksheet!$F"&amp;R4)</f>
        <v>46.25</v>
      </c>
      <c r="U8" s="372" t="s">
        <v>4</v>
      </c>
      <c r="V8" s="397" cm="1">
        <f t="array" aca="1" ref="V8" ca="1">INDIRECT("Worksheet!$H"&amp;R4)</f>
        <v>141</v>
      </c>
      <c r="W8" s="398"/>
      <c r="X8" s="399" t="str" cm="1">
        <f t="array" aca="1" ref="X8" ca="1">INDIRECT("Worksheet!$I"&amp;R4)</f>
        <v>IB</v>
      </c>
      <c r="Z8" s="395"/>
      <c r="AD8" s="398"/>
      <c r="AE8" s="399"/>
      <c r="AG8" s="372"/>
      <c r="AH8" s="372"/>
      <c r="AI8" s="395" cm="1">
        <f t="array" aca="1" ref="AI8" ca="1">+IF(INDIRECT("Worksheet!$D"&amp;AH4)&gt;0,INDIRECT("Worksheet!$E"&amp;AH4),0)</f>
        <v>0</v>
      </c>
      <c r="AJ8" s="396" cm="1">
        <f t="array" aca="1" ref="AJ8" ca="1">INDIRECT("Worksheet!$F"&amp;AH4)</f>
        <v>0</v>
      </c>
      <c r="AK8" s="372" t="s">
        <v>4</v>
      </c>
      <c r="AL8" s="397" cm="1">
        <f t="array" aca="1" ref="AL8" ca="1">INDIRECT("Worksheet!$H"&amp;AH4)</f>
        <v>0</v>
      </c>
      <c r="AM8" s="398"/>
      <c r="AN8" s="399" cm="1">
        <f t="array" aca="1" ref="AN8" ca="1">INDIRECT("Worksheet!$I"&amp;AH4)</f>
        <v>0</v>
      </c>
      <c r="AP8" s="395"/>
      <c r="AT8" s="398"/>
      <c r="AU8" s="399"/>
      <c r="AW8" s="372"/>
      <c r="AX8" s="372"/>
      <c r="AY8" s="395" cm="1">
        <f t="array" aca="1" ref="AY8" ca="1">+IF(INDIRECT("Worksheet!$D"&amp;AX4)&gt;0,INDIRECT("Worksheet!$E"&amp;AX4),0)</f>
        <v>0</v>
      </c>
      <c r="AZ8" s="396" cm="1">
        <f t="array" aca="1" ref="AZ8" ca="1">INDIRECT("Worksheet!$F"&amp;AX4)</f>
        <v>0</v>
      </c>
      <c r="BA8" s="372" t="s">
        <v>4</v>
      </c>
      <c r="BB8" s="397" cm="1">
        <f t="array" aca="1" ref="BB8" ca="1">INDIRECT("Worksheet!$H"&amp;AX4)</f>
        <v>0</v>
      </c>
      <c r="BC8" s="398"/>
      <c r="BD8" s="399" cm="1">
        <f t="array" aca="1" ref="BD8" ca="1">INDIRECT("Worksheet!$I"&amp;AX4)</f>
        <v>0</v>
      </c>
      <c r="BF8" s="395"/>
      <c r="BJ8" s="398"/>
      <c r="BK8" s="399"/>
    </row>
    <row r="9" spans="1:63" ht="20.95" customHeight="1" x14ac:dyDescent="0.3">
      <c r="C9" s="401" t="s">
        <v>18</v>
      </c>
      <c r="D9" s="527" t="str" cm="1">
        <f t="array" aca="1" ref="D9" ca="1">INDIRECT("Worksheet!$O"&amp;B4)</f>
        <v>VX Intimate Sing BO, Ivory</v>
      </c>
      <c r="E9" s="528" cm="1">
        <f t="array" aca="1" ref="E9" ca="1">INDIRECT("Worksheet!$C"&amp;$B$4)</f>
        <v>134</v>
      </c>
      <c r="F9" s="528" cm="1">
        <f t="array" aca="1" ref="F9" ca="1">INDIRECT("Worksheet!$C"&amp;$B$4)</f>
        <v>134</v>
      </c>
      <c r="G9" s="402" t="str" cm="1">
        <f t="array" aca="1" ref="G9" ca="1">INDIRECT("'Tube Cut'!$F"&amp;B4)</f>
        <v>Motor</v>
      </c>
      <c r="H9" s="403" t="str" cm="1">
        <f t="array" aca="1" ref="H9" ca="1">INDIRECT("'Tube Cut'!$G"&amp;B4)</f>
        <v>Idler</v>
      </c>
      <c r="J9" s="404" t="s">
        <v>824</v>
      </c>
      <c r="K9" s="396">
        <f ca="1">D8</f>
        <v>46.375</v>
      </c>
      <c r="L9" s="372" t="s">
        <v>4</v>
      </c>
      <c r="M9" s="397">
        <f ca="1">F8</f>
        <v>141</v>
      </c>
      <c r="N9" s="405"/>
      <c r="O9" s="403"/>
      <c r="S9" s="401" t="s">
        <v>18</v>
      </c>
      <c r="T9" s="527" t="str" cm="1">
        <f t="array" aca="1" ref="T9" ca="1">INDIRECT("Worksheet!$O"&amp;R4)</f>
        <v>VX Intimate Sing BO, Ivory</v>
      </c>
      <c r="U9" s="528" cm="1">
        <f t="array" aca="1" ref="U9" ca="1">INDIRECT("Worksheet!$C"&amp;$B$4)</f>
        <v>134</v>
      </c>
      <c r="V9" s="528" cm="1">
        <f t="array" aca="1" ref="V9" ca="1">INDIRECT("Worksheet!$C"&amp;$B$4)</f>
        <v>134</v>
      </c>
      <c r="W9" s="402" t="str" cm="1">
        <f t="array" aca="1" ref="W9" ca="1">INDIRECT("'Tube Cut'!$F"&amp;R4)</f>
        <v>Motor</v>
      </c>
      <c r="X9" s="403" t="str" cm="1">
        <f t="array" aca="1" ref="X9" ca="1">INDIRECT("'Tube Cut'!$G"&amp;R4)</f>
        <v>Idler</v>
      </c>
      <c r="Z9" s="404" t="s">
        <v>824</v>
      </c>
      <c r="AA9" s="397">
        <f ca="1">T8</f>
        <v>46.25</v>
      </c>
      <c r="AB9" s="372" t="s">
        <v>4</v>
      </c>
      <c r="AC9" s="397">
        <f ca="1">V8</f>
        <v>141</v>
      </c>
      <c r="AD9" s="405"/>
      <c r="AE9" s="403"/>
      <c r="AI9" s="401" t="s">
        <v>18</v>
      </c>
      <c r="AJ9" s="527" cm="1">
        <f t="array" aca="1" ref="AJ9" ca="1">INDIRECT("Worksheet!$O"&amp;AH4)</f>
        <v>0</v>
      </c>
      <c r="AK9" s="528" cm="1">
        <f t="array" aca="1" ref="AK9" ca="1">INDIRECT("Worksheet!$C"&amp;$B$4)</f>
        <v>134</v>
      </c>
      <c r="AL9" s="528" cm="1">
        <f t="array" aca="1" ref="AL9" ca="1">INDIRECT("Worksheet!$C"&amp;$B$4)</f>
        <v>134</v>
      </c>
      <c r="AM9" s="402" t="str" cm="1">
        <f t="array" aca="1" ref="AM9" ca="1">INDIRECT("'Tube Cut'!$F"&amp;AH4)</f>
        <v xml:space="preserve"> </v>
      </c>
      <c r="AN9" s="403" t="str" cm="1">
        <f t="array" aca="1" ref="AN9" ca="1">INDIRECT("'Tube Cut'!$G"&amp;AH4)</f>
        <v xml:space="preserve"> </v>
      </c>
      <c r="AP9" s="404" t="s">
        <v>824</v>
      </c>
      <c r="AQ9" s="397">
        <f ca="1">AJ8</f>
        <v>0</v>
      </c>
      <c r="AR9" s="372" t="s">
        <v>4</v>
      </c>
      <c r="AS9" s="397">
        <f ca="1">AL8</f>
        <v>0</v>
      </c>
      <c r="AT9" s="405"/>
      <c r="AU9" s="403"/>
      <c r="AY9" s="401" t="s">
        <v>18</v>
      </c>
      <c r="AZ9" s="527" cm="1">
        <f t="array" aca="1" ref="AZ9" ca="1">INDIRECT("Worksheet!$O"&amp;AX4)</f>
        <v>0</v>
      </c>
      <c r="BA9" s="528" cm="1">
        <f t="array" aca="1" ref="BA9" ca="1">INDIRECT("Worksheet!$C"&amp;$B$4)</f>
        <v>134</v>
      </c>
      <c r="BB9" s="528" cm="1">
        <f t="array" aca="1" ref="BB9" ca="1">INDIRECT("Worksheet!$C"&amp;$B$4)</f>
        <v>134</v>
      </c>
      <c r="BC9" s="402" t="str" cm="1">
        <f t="array" aca="1" ref="BC9" ca="1">INDIRECT("'Tube Cut'!$F"&amp;AX4)</f>
        <v xml:space="preserve"> </v>
      </c>
      <c r="BD9" s="403" t="str" cm="1">
        <f t="array" aca="1" ref="BD9" ca="1">INDIRECT("'Tube Cut'!$G"&amp;AX4)</f>
        <v xml:space="preserve"> </v>
      </c>
      <c r="BF9" s="404" t="s">
        <v>824</v>
      </c>
      <c r="BG9" s="397">
        <f ca="1">AZ8</f>
        <v>0</v>
      </c>
      <c r="BH9" s="372" t="s">
        <v>4</v>
      </c>
      <c r="BI9" s="397">
        <f ca="1">BB8</f>
        <v>0</v>
      </c>
      <c r="BJ9" s="405"/>
      <c r="BK9" s="403"/>
    </row>
    <row r="10" spans="1:63" ht="20.95" customHeight="1" x14ac:dyDescent="0.3">
      <c r="C10" s="389" t="s">
        <v>23</v>
      </c>
      <c r="D10" s="406" t="str" cm="1">
        <f t="array" aca="1" ref="D10" ca="1">+IF(INDIRECT("Worksheet!$Q"&amp;B4)="V","fabric vertical",IF(INDIRECT("Worksheet!$Q"&amp;B4)="RR","fabric Railroad",0))</f>
        <v>fabric vertical</v>
      </c>
      <c r="E10" s="407" t="s">
        <v>24</v>
      </c>
      <c r="F10" s="408"/>
      <c r="G10" s="518" t="str" cm="1">
        <f t="array" aca="1" ref="G10" ca="1">+IF(INDIRECT("Worksheet!$J"&amp;B4)&gt;0,INDIRECT("Worksheet!$J"&amp;B4),"NO")</f>
        <v>Yes</v>
      </c>
      <c r="H10" s="517"/>
      <c r="J10" s="395"/>
      <c r="K10" s="409"/>
      <c r="L10" s="504" t="s">
        <v>825</v>
      </c>
      <c r="M10" s="504"/>
      <c r="N10" s="504"/>
      <c r="O10" s="505"/>
      <c r="S10" s="389" t="s">
        <v>23</v>
      </c>
      <c r="T10" s="406" t="str" cm="1">
        <f t="array" aca="1" ref="T10" ca="1">+IF(INDIRECT("Worksheet!$Q"&amp;R4)="V","fabric vertical",IF(INDIRECT("Worksheet!$Q"&amp;R4)="RR","fabric Railroad",0))</f>
        <v>fabric vertical</v>
      </c>
      <c r="U10" s="407" t="s">
        <v>24</v>
      </c>
      <c r="V10" s="408"/>
      <c r="W10" s="518" t="str" cm="1">
        <f t="array" aca="1" ref="W10" ca="1">+IF(INDIRECT("Worksheet!$J"&amp;R4)&gt;0,INDIRECT("Worksheet!$J"&amp;R4),"NO")</f>
        <v>Yes</v>
      </c>
      <c r="X10" s="517"/>
      <c r="Z10" s="395"/>
      <c r="AA10" s="409"/>
      <c r="AB10" s="504" t="s">
        <v>825</v>
      </c>
      <c r="AC10" s="504"/>
      <c r="AD10" s="504"/>
      <c r="AE10" s="505"/>
      <c r="AI10" s="389" t="s">
        <v>23</v>
      </c>
      <c r="AJ10" s="406" cm="1">
        <f t="array" aca="1" ref="AJ10" ca="1">+IF(INDIRECT("Worksheet!$Q"&amp;AH4)="V","fabric vertical",IF(INDIRECT("Worksheet!$Q"&amp;AH4)="RR","fabric Railroad",0))</f>
        <v>0</v>
      </c>
      <c r="AK10" s="407" t="s">
        <v>24</v>
      </c>
      <c r="AL10" s="408"/>
      <c r="AM10" s="518" t="str" cm="1">
        <f t="array" aca="1" ref="AM10" ca="1">+IF(INDIRECT("Worksheet!$J"&amp;AH4)&gt;0,INDIRECT("Worksheet!$J"&amp;AH4),"NO")</f>
        <v>NO</v>
      </c>
      <c r="AN10" s="517"/>
      <c r="AP10" s="395"/>
      <c r="AQ10" s="409"/>
      <c r="AR10" s="504" t="s">
        <v>825</v>
      </c>
      <c r="AS10" s="504"/>
      <c r="AT10" s="504"/>
      <c r="AU10" s="505"/>
      <c r="AY10" s="389" t="s">
        <v>23</v>
      </c>
      <c r="AZ10" s="406" cm="1">
        <f t="array" aca="1" ref="AZ10" ca="1">+IF(INDIRECT("Worksheet!$Q"&amp;AX4)="V","fabric vertical",IF(INDIRECT("Worksheet!$Q"&amp;AX4)="RR","fabric Railroad",0))</f>
        <v>0</v>
      </c>
      <c r="BA10" s="407" t="s">
        <v>24</v>
      </c>
      <c r="BB10" s="408"/>
      <c r="BC10" s="518" t="str" cm="1">
        <f t="array" aca="1" ref="BC10" ca="1">+IF(INDIRECT("Worksheet!$J"&amp;AX4)&gt;0,INDIRECT("Worksheet!$J"&amp;AX4),"NO")</f>
        <v>NO</v>
      </c>
      <c r="BD10" s="517"/>
      <c r="BF10" s="395"/>
      <c r="BG10" s="409"/>
      <c r="BH10" s="504" t="s">
        <v>825</v>
      </c>
      <c r="BI10" s="504"/>
      <c r="BJ10" s="504"/>
      <c r="BK10" s="505"/>
    </row>
    <row r="11" spans="1:63" s="409" customFormat="1" ht="20.95" customHeight="1" x14ac:dyDescent="0.3">
      <c r="A11" s="372"/>
      <c r="B11" s="372"/>
      <c r="C11" s="523" t="str" cm="1">
        <f t="array" aca="1" ref="C11" ca="1">+INDIRECT("Worksheet!$P"&amp;B4)</f>
        <v>Panel width - 43 3/4"center on tube</v>
      </c>
      <c r="D11" s="524"/>
      <c r="E11" s="407" t="s">
        <v>238</v>
      </c>
      <c r="F11" s="410"/>
      <c r="G11" s="516" t="str" cm="1">
        <f t="array" aca="1" ref="G11" ca="1">INDIRECT("Worksheet!$L"&amp;B4)</f>
        <v>Sealed</v>
      </c>
      <c r="H11" s="517" cm="1">
        <f t="array" aca="1" ref="H11" ca="1">INDIRECT("Worksheet!$C"&amp;$B$4)</f>
        <v>134</v>
      </c>
      <c r="J11" s="411"/>
      <c r="L11" s="504"/>
      <c r="M11" s="504"/>
      <c r="N11" s="504"/>
      <c r="O11" s="505"/>
      <c r="Q11" s="372"/>
      <c r="R11" s="372"/>
      <c r="S11" s="525" t="str" cm="1">
        <f t="array" aca="1" ref="S11" ca="1">+INDIRECT("Worksheet!$P"&amp;R4)</f>
        <v>Panel width - 43 3/4"center on tube</v>
      </c>
      <c r="T11" s="526"/>
      <c r="U11" s="407" t="s">
        <v>238</v>
      </c>
      <c r="V11" s="410"/>
      <c r="W11" s="516" t="str" cm="1">
        <f t="array" aca="1" ref="W11" ca="1">INDIRECT("Worksheet!$L"&amp;R4)</f>
        <v>Sealed</v>
      </c>
      <c r="X11" s="517"/>
      <c r="Z11" s="411"/>
      <c r="AB11" s="504"/>
      <c r="AC11" s="504"/>
      <c r="AD11" s="504"/>
      <c r="AE11" s="505"/>
      <c r="AG11" s="372"/>
      <c r="AH11" s="372"/>
      <c r="AI11" s="525" t="str" cm="1">
        <f t="array" aca="1" ref="AI11" ca="1">+INDIRECT("Worksheet!$P"&amp;AH4)</f>
        <v xml:space="preserve"> </v>
      </c>
      <c r="AJ11" s="526"/>
      <c r="AK11" s="407" t="s">
        <v>238</v>
      </c>
      <c r="AL11" s="410"/>
      <c r="AM11" s="516" t="str" cm="1">
        <f t="array" aca="1" ref="AM11" ca="1">INDIRECT("Worksheet!$L"&amp;AH4)</f>
        <v>Sealed</v>
      </c>
      <c r="AN11" s="517"/>
      <c r="AP11" s="411"/>
      <c r="AR11" s="504"/>
      <c r="AS11" s="504"/>
      <c r="AT11" s="504"/>
      <c r="AU11" s="505"/>
      <c r="AW11" s="372"/>
      <c r="AX11" s="372"/>
      <c r="AY11" s="525" t="str" cm="1">
        <f t="array" aca="1" ref="AY11" ca="1">+INDIRECT("Worksheet!$P"&amp;AX4)</f>
        <v xml:space="preserve"> </v>
      </c>
      <c r="AZ11" s="526"/>
      <c r="BA11" s="407" t="s">
        <v>238</v>
      </c>
      <c r="BB11" s="410"/>
      <c r="BC11" s="516" t="str" cm="1">
        <f t="array" aca="1" ref="BC11" ca="1">INDIRECT("Worksheet!$L"&amp;AX4)</f>
        <v>Sealed</v>
      </c>
      <c r="BD11" s="517"/>
      <c r="BF11" s="411"/>
      <c r="BH11" s="504"/>
      <c r="BI11" s="504"/>
      <c r="BJ11" s="504"/>
      <c r="BK11" s="505"/>
    </row>
    <row r="12" spans="1:63" ht="20.95" customHeight="1" x14ac:dyDescent="0.3">
      <c r="C12" s="412" t="s">
        <v>19</v>
      </c>
      <c r="D12" s="413" t="s">
        <v>25</v>
      </c>
      <c r="E12" s="407" t="s">
        <v>26</v>
      </c>
      <c r="F12" s="408"/>
      <c r="G12" s="516" t="str" cm="1">
        <f t="array" aca="1" ref="G12" ca="1">+IF(INDIRECT("Worksheet!$K"&amp;B4)&gt;0,INDIRECT("Worksheet!$K"&amp;B4),"NO facia")</f>
        <v>NO facia</v>
      </c>
      <c r="H12" s="517"/>
      <c r="J12" s="412" t="s">
        <v>19</v>
      </c>
      <c r="K12" s="413" t="s">
        <v>25</v>
      </c>
      <c r="L12" s="504"/>
      <c r="M12" s="504"/>
      <c r="N12" s="504"/>
      <c r="O12" s="505"/>
      <c r="S12" s="412" t="s">
        <v>19</v>
      </c>
      <c r="T12" s="413" t="s">
        <v>25</v>
      </c>
      <c r="U12" s="407" t="s">
        <v>26</v>
      </c>
      <c r="V12" s="408"/>
      <c r="W12" s="516" t="str" cm="1">
        <f t="array" aca="1" ref="W12" ca="1">+IF(INDIRECT("Worksheet!$K"&amp;R4)&gt;0,INDIRECT("Worksheet!$K"&amp;R4),"NO facia")</f>
        <v>NO facia</v>
      </c>
      <c r="X12" s="517"/>
      <c r="Z12" s="412" t="s">
        <v>19</v>
      </c>
      <c r="AA12" s="413" t="s">
        <v>25</v>
      </c>
      <c r="AB12" s="504"/>
      <c r="AC12" s="504"/>
      <c r="AD12" s="504"/>
      <c r="AE12" s="505"/>
      <c r="AI12" s="412" t="s">
        <v>19</v>
      </c>
      <c r="AJ12" s="413" t="s">
        <v>25</v>
      </c>
      <c r="AK12" s="407" t="s">
        <v>26</v>
      </c>
      <c r="AL12" s="408"/>
      <c r="AM12" s="516" t="str" cm="1">
        <f t="array" aca="1" ref="AM12" ca="1">+IF(INDIRECT("Worksheet!$K"&amp;AH4)&gt;0,INDIRECT("Worksheet!$K"&amp;AH4),"NO facia")</f>
        <v>NO facia</v>
      </c>
      <c r="AN12" s="517"/>
      <c r="AP12" s="412" t="s">
        <v>19</v>
      </c>
      <c r="AQ12" s="413" t="s">
        <v>25</v>
      </c>
      <c r="AR12" s="504"/>
      <c r="AS12" s="504"/>
      <c r="AT12" s="504"/>
      <c r="AU12" s="505"/>
      <c r="AY12" s="412" t="s">
        <v>19</v>
      </c>
      <c r="AZ12" s="413" t="s">
        <v>25</v>
      </c>
      <c r="BA12" s="407" t="s">
        <v>26</v>
      </c>
      <c r="BB12" s="408"/>
      <c r="BC12" s="516" t="str" cm="1">
        <f t="array" aca="1" ref="BC12" ca="1">+IF(INDIRECT("Worksheet!$K"&amp;AX4)&gt;0,INDIRECT("Worksheet!$K"&amp;AX4),"NO facia")</f>
        <v>NO facia</v>
      </c>
      <c r="BD12" s="517"/>
      <c r="BF12" s="412" t="s">
        <v>19</v>
      </c>
      <c r="BG12" s="413" t="s">
        <v>25</v>
      </c>
      <c r="BH12" s="504"/>
      <c r="BI12" s="504"/>
      <c r="BJ12" s="504"/>
      <c r="BK12" s="505"/>
    </row>
    <row r="13" spans="1:63" ht="29.15" customHeight="1" x14ac:dyDescent="0.45">
      <c r="C13" s="414" cm="1">
        <f t="array" aca="1" ref="C13" ca="1">+D8-INDIRECT("Worksheet!$AL"&amp;B4)</f>
        <v>44.375</v>
      </c>
      <c r="D13" s="415">
        <f ca="1">ROUND(+F8+16,0)</f>
        <v>157</v>
      </c>
      <c r="E13" s="407" t="s">
        <v>27</v>
      </c>
      <c r="F13" s="408"/>
      <c r="G13" s="516" t="str" cm="1">
        <f t="array" aca="1" ref="G13" ca="1">+IF(INDIRECT("Worksheet!$K"&amp;B4)&gt;0,IF(INDIRECT("Worksheet!$S"&amp;B4)="yes","Double Brkts",IF(INDIRECT("Worksheet!$S"&amp;B4)="NO","facia brkts","reg. brkts")),"reg. brkts")</f>
        <v>reg. brkts</v>
      </c>
      <c r="H13" s="517"/>
      <c r="J13" s="416">
        <f ca="1">C13</f>
        <v>44.375</v>
      </c>
      <c r="K13" s="417">
        <f ca="1">D13</f>
        <v>157</v>
      </c>
      <c r="L13" s="506"/>
      <c r="M13" s="506"/>
      <c r="N13" s="506"/>
      <c r="O13" s="507"/>
      <c r="S13" s="414" cm="1">
        <f t="array" aca="1" ref="S13" ca="1">+T8-INDIRECT("Worksheet!$AL"&amp;R4)</f>
        <v>44.25</v>
      </c>
      <c r="T13" s="415">
        <f ca="1">ROUND(+V8+16,0)</f>
        <v>157</v>
      </c>
      <c r="U13" s="407" t="s">
        <v>27</v>
      </c>
      <c r="V13" s="408"/>
      <c r="W13" s="516" t="str" cm="1">
        <f t="array" aca="1" ref="W13" ca="1">+IF(INDIRECT("Worksheet!$K"&amp;R4)&gt;0,IF(INDIRECT("Worksheet!$S"&amp;R4)="yes","Double Brkts",IF(INDIRECT("Worksheet!$S"&amp;R4)="NO","facia brkts","reg. brkts")),"reg. brkts")</f>
        <v>reg. brkts</v>
      </c>
      <c r="X13" s="517"/>
      <c r="Z13" s="416">
        <f ca="1">S13</f>
        <v>44.25</v>
      </c>
      <c r="AA13" s="417">
        <f ca="1">T13</f>
        <v>157</v>
      </c>
      <c r="AB13" s="506"/>
      <c r="AC13" s="506"/>
      <c r="AD13" s="506"/>
      <c r="AE13" s="507"/>
      <c r="AG13" s="372" t="s">
        <v>77</v>
      </c>
      <c r="AI13" s="414" cm="1">
        <f t="array" aca="1" ref="AI13" ca="1">+AJ8-INDIRECT("Worksheet!$AL"&amp;AH4)</f>
        <v>0</v>
      </c>
      <c r="AJ13" s="415">
        <f ca="1">ROUND(+AL8+16,0)</f>
        <v>16</v>
      </c>
      <c r="AK13" s="407" t="s">
        <v>27</v>
      </c>
      <c r="AL13" s="408"/>
      <c r="AM13" s="516" t="str" cm="1">
        <f t="array" aca="1" ref="AM13" ca="1">+IF(INDIRECT("Worksheet!$K"&amp;AH4)&gt;0,IF(INDIRECT("Worksheet!$S"&amp;AH4)="yes","Double Brkts",IF(INDIRECT("Worksheet!$S"&amp;AH4)="NO","facia brkts","reg. brkts")),"reg. brkts")</f>
        <v>reg. brkts</v>
      </c>
      <c r="AN13" s="517"/>
      <c r="AP13" s="416">
        <f ca="1">AI13</f>
        <v>0</v>
      </c>
      <c r="AQ13" s="417">
        <f ca="1">AJ13</f>
        <v>16</v>
      </c>
      <c r="AR13" s="506"/>
      <c r="AS13" s="506"/>
      <c r="AT13" s="506"/>
      <c r="AU13" s="507"/>
      <c r="AY13" s="414" cm="1">
        <f t="array" aca="1" ref="AY13" ca="1">+AZ8-INDIRECT("Worksheet!$AL"&amp;AX4)</f>
        <v>0</v>
      </c>
      <c r="AZ13" s="415">
        <f ca="1">ROUND(+BB8+16,0)</f>
        <v>16</v>
      </c>
      <c r="BA13" s="407" t="s">
        <v>27</v>
      </c>
      <c r="BB13" s="408"/>
      <c r="BC13" s="516" t="str" cm="1">
        <f t="array" aca="1" ref="BC13" ca="1">+IF(INDIRECT("Worksheet!$K"&amp;AX4)&gt;0,IF(INDIRECT("Worksheet!$S"&amp;AX4)="yes","Double Brkts",IF(INDIRECT("Worksheet!$S"&amp;AX4)="NO","facia brkts","reg. brkts")),"reg. brkts")</f>
        <v>reg. brkts</v>
      </c>
      <c r="BD13" s="517"/>
      <c r="BF13" s="416">
        <f ca="1">AY13</f>
        <v>0</v>
      </c>
      <c r="BG13" s="417">
        <f ca="1">AZ13</f>
        <v>16</v>
      </c>
      <c r="BH13" s="506"/>
      <c r="BI13" s="506"/>
      <c r="BJ13" s="506"/>
      <c r="BK13" s="507"/>
    </row>
    <row r="14" spans="1:63" ht="29.95" customHeight="1" thickBot="1" x14ac:dyDescent="0.55000000000000004">
      <c r="C14" s="418"/>
      <c r="D14" s="419" t="str">
        <f ca="1">+IF(C8&gt;0,"ROLLERSHADE","do not use")</f>
        <v>ROLLERSHADE</v>
      </c>
      <c r="E14" s="420"/>
      <c r="F14" s="420"/>
      <c r="G14" s="420"/>
      <c r="H14" s="421"/>
      <c r="J14" s="422"/>
      <c r="K14" s="423" t="str">
        <f ca="1">+IF(C8&gt;0,"TUBE SIZE","do not use")</f>
        <v>TUBE SIZE</v>
      </c>
      <c r="L14" s="424"/>
      <c r="M14" s="424"/>
      <c r="N14" s="502" t="str">
        <f ca="1">C8</f>
        <v>Tube 2.375</v>
      </c>
      <c r="O14" s="503"/>
      <c r="S14" s="418"/>
      <c r="T14" s="419" t="str">
        <f ca="1">+IF(S8&gt;0,"ROLLERSHADE","do not use")</f>
        <v>ROLLERSHADE</v>
      </c>
      <c r="U14" s="420"/>
      <c r="V14" s="420"/>
      <c r="W14" s="420"/>
      <c r="X14" s="421"/>
      <c r="Z14" s="422"/>
      <c r="AA14" s="423" t="str">
        <f ca="1">+IF(S8&gt;0,"TUBE SIZE","do not use")</f>
        <v>TUBE SIZE</v>
      </c>
      <c r="AB14" s="424"/>
      <c r="AC14" s="424"/>
      <c r="AD14" s="502" t="str">
        <f ca="1">S8</f>
        <v>Tube 2.375</v>
      </c>
      <c r="AE14" s="503"/>
      <c r="AI14" s="418"/>
      <c r="AJ14" s="419" t="str">
        <f ca="1">+IF(AI8&gt;0,"ROLLERSHADE","do not use")</f>
        <v>do not use</v>
      </c>
      <c r="AK14" s="420"/>
      <c r="AL14" s="420"/>
      <c r="AM14" s="420"/>
      <c r="AN14" s="421"/>
      <c r="AP14" s="422"/>
      <c r="AQ14" s="423" t="str">
        <f ca="1">+IF(AI8&gt;0,"TUBE SIZE","do not use")</f>
        <v>do not use</v>
      </c>
      <c r="AR14" s="424"/>
      <c r="AS14" s="424"/>
      <c r="AT14" s="502">
        <f ca="1">AI8</f>
        <v>0</v>
      </c>
      <c r="AU14" s="503"/>
      <c r="AY14" s="418"/>
      <c r="AZ14" s="419" t="str">
        <f ca="1">+IF(AY8&gt;0,"ROLLERSHADE","do not use")</f>
        <v>do not use</v>
      </c>
      <c r="BA14" s="420"/>
      <c r="BB14" s="420"/>
      <c r="BC14" s="420"/>
      <c r="BD14" s="421"/>
      <c r="BF14" s="422"/>
      <c r="BG14" s="423" t="str">
        <f ca="1">+IF(AY8&gt;0,"TUBE SIZE","do not use")</f>
        <v>do not use</v>
      </c>
      <c r="BH14" s="424"/>
      <c r="BI14" s="424"/>
      <c r="BJ14" s="502">
        <f ca="1">AY8</f>
        <v>0</v>
      </c>
      <c r="BK14" s="503"/>
    </row>
    <row r="15" spans="1:63" ht="59.25" customHeight="1" thickBot="1" x14ac:dyDescent="0.7">
      <c r="C15" s="425"/>
      <c r="D15" s="426"/>
      <c r="J15" s="425"/>
      <c r="K15" s="426"/>
      <c r="S15" s="425"/>
      <c r="T15" s="426"/>
      <c r="Z15" s="425"/>
      <c r="AA15" s="426"/>
      <c r="AD15" s="428"/>
      <c r="AE15" s="429"/>
      <c r="AI15" s="425"/>
      <c r="AJ15" s="426"/>
      <c r="AP15" s="425"/>
      <c r="AQ15" s="426"/>
      <c r="AY15" s="425"/>
      <c r="AZ15" s="426"/>
      <c r="BF15" s="425"/>
      <c r="BG15" s="426"/>
    </row>
    <row r="16" spans="1:63" ht="20.95" customHeight="1" thickBot="1" x14ac:dyDescent="0.35">
      <c r="A16" s="372" t="s">
        <v>206</v>
      </c>
      <c r="B16" s="372">
        <v>16</v>
      </c>
      <c r="C16" s="377" t="s">
        <v>20</v>
      </c>
      <c r="D16" s="508">
        <f>+jobnumber</f>
        <v>30894</v>
      </c>
      <c r="E16" s="509"/>
      <c r="F16" s="509"/>
      <c r="G16" s="510"/>
      <c r="H16" s="511" t="str" cm="1">
        <f t="array" aca="1" ref="H16" ca="1">INDIRECT("Worksheet!$B"&amp;B16)</f>
        <v>A2</v>
      </c>
      <c r="J16" s="377" t="s">
        <v>20</v>
      </c>
      <c r="K16" s="378">
        <f>+jobnumber</f>
        <v>30894</v>
      </c>
      <c r="L16" s="379"/>
      <c r="M16" s="379"/>
      <c r="N16" s="379"/>
      <c r="O16" s="511" t="str">
        <f ca="1">H16</f>
        <v>A2</v>
      </c>
      <c r="Q16" s="372" t="s">
        <v>52</v>
      </c>
      <c r="R16" s="372">
        <v>21</v>
      </c>
      <c r="S16" s="377" t="s">
        <v>20</v>
      </c>
      <c r="T16" s="508">
        <f>+jobnumber</f>
        <v>30894</v>
      </c>
      <c r="U16" s="509"/>
      <c r="V16" s="509"/>
      <c r="W16" s="510"/>
      <c r="X16" s="511" t="str" cm="1">
        <f t="array" aca="1" ref="X16" ca="1">INDIRECT("Worksheet!$B"&amp;R16)</f>
        <v>A7</v>
      </c>
      <c r="Z16" s="377" t="s">
        <v>20</v>
      </c>
      <c r="AA16" s="378">
        <f>+jobnumber</f>
        <v>30894</v>
      </c>
      <c r="AB16" s="379"/>
      <c r="AC16" s="379"/>
      <c r="AD16" s="379"/>
      <c r="AE16" s="511"/>
      <c r="AG16" s="372" t="s">
        <v>58</v>
      </c>
      <c r="AH16" s="372">
        <v>26</v>
      </c>
      <c r="AI16" s="377" t="s">
        <v>20</v>
      </c>
      <c r="AJ16" s="508">
        <f>+jobnumber</f>
        <v>30894</v>
      </c>
      <c r="AK16" s="509"/>
      <c r="AL16" s="509"/>
      <c r="AM16" s="510"/>
      <c r="AN16" s="511" t="str" cm="1">
        <f t="array" aca="1" ref="AN16" ca="1">INDIRECT("Worksheet!$B"&amp;AH16)</f>
        <v>A12</v>
      </c>
      <c r="AP16" s="377" t="s">
        <v>20</v>
      </c>
      <c r="AQ16" s="378">
        <f>+jobnumber</f>
        <v>30894</v>
      </c>
      <c r="AR16" s="379"/>
      <c r="AS16" s="379"/>
      <c r="AT16" s="379"/>
      <c r="AU16" s="511" t="str">
        <f ca="1">AN16</f>
        <v>A12</v>
      </c>
      <c r="AW16" s="372" t="s">
        <v>63</v>
      </c>
      <c r="AX16" s="372">
        <v>31</v>
      </c>
      <c r="AY16" s="377" t="s">
        <v>20</v>
      </c>
      <c r="AZ16" s="508">
        <f>+jobnumber</f>
        <v>30894</v>
      </c>
      <c r="BA16" s="509"/>
      <c r="BB16" s="509"/>
      <c r="BC16" s="510"/>
      <c r="BD16" s="511" t="str" cm="1">
        <f t="array" aca="1" ref="BD16" ca="1">INDIRECT("Worksheet!$B"&amp;AX16)</f>
        <v>A17</v>
      </c>
      <c r="BF16" s="377" t="s">
        <v>20</v>
      </c>
      <c r="BG16" s="378">
        <f>+jobnumber</f>
        <v>30894</v>
      </c>
      <c r="BH16" s="379"/>
      <c r="BI16" s="379"/>
      <c r="BJ16" s="379"/>
      <c r="BK16" s="511" t="str">
        <f ca="1">BD16</f>
        <v>A17</v>
      </c>
    </row>
    <row r="17" spans="1:69" s="381" customFormat="1" ht="20.95" customHeight="1" thickBot="1" x14ac:dyDescent="0.35">
      <c r="A17" s="372"/>
      <c r="B17" s="372"/>
      <c r="C17" s="380" t="s">
        <v>21</v>
      </c>
      <c r="D17" s="513" t="str">
        <f>+_xlfn.SINGLE(Bill_Name)</f>
        <v>Westland Construction</v>
      </c>
      <c r="E17" s="514"/>
      <c r="F17" s="514"/>
      <c r="G17" s="515"/>
      <c r="H17" s="512"/>
      <c r="J17" s="380" t="s">
        <v>21</v>
      </c>
      <c r="K17" s="382" t="str">
        <f>+_xlfn.SINGLE(Bill_Name)</f>
        <v>Westland Construction</v>
      </c>
      <c r="L17" s="383"/>
      <c r="M17" s="383"/>
      <c r="N17" s="383"/>
      <c r="O17" s="512"/>
      <c r="Q17" s="372"/>
      <c r="R17" s="372"/>
      <c r="S17" s="380" t="s">
        <v>21</v>
      </c>
      <c r="T17" s="513" t="str">
        <f>+_xlfn.SINGLE(Bill_Name)</f>
        <v>Westland Construction</v>
      </c>
      <c r="U17" s="514"/>
      <c r="V17" s="514"/>
      <c r="W17" s="515"/>
      <c r="X17" s="512"/>
      <c r="Z17" s="380" t="s">
        <v>21</v>
      </c>
      <c r="AA17" s="382" t="str">
        <f>+_xlfn.SINGLE(Bill_Name)</f>
        <v>Westland Construction</v>
      </c>
      <c r="AB17" s="383"/>
      <c r="AC17" s="383"/>
      <c r="AD17" s="383"/>
      <c r="AE17" s="512"/>
      <c r="AG17" s="372"/>
      <c r="AH17" s="372"/>
      <c r="AI17" s="380" t="s">
        <v>21</v>
      </c>
      <c r="AJ17" s="513" t="str">
        <f>+_xlfn.SINGLE(Bill_Name)</f>
        <v>Westland Construction</v>
      </c>
      <c r="AK17" s="514"/>
      <c r="AL17" s="514"/>
      <c r="AM17" s="515"/>
      <c r="AN17" s="512"/>
      <c r="AP17" s="380" t="s">
        <v>21</v>
      </c>
      <c r="AQ17" s="382" t="str">
        <f>+_xlfn.SINGLE(Bill_Name)</f>
        <v>Westland Construction</v>
      </c>
      <c r="AR17" s="383"/>
      <c r="AS17" s="383"/>
      <c r="AT17" s="383"/>
      <c r="AU17" s="512"/>
      <c r="AW17" s="372"/>
      <c r="AX17" s="372"/>
      <c r="AY17" s="380" t="s">
        <v>21</v>
      </c>
      <c r="AZ17" s="513" t="str">
        <f>+_xlfn.SINGLE(Bill_Name)</f>
        <v>Westland Construction</v>
      </c>
      <c r="BA17" s="514"/>
      <c r="BB17" s="514"/>
      <c r="BC17" s="515"/>
      <c r="BD17" s="512"/>
      <c r="BF17" s="380" t="s">
        <v>21</v>
      </c>
      <c r="BG17" s="382" t="str">
        <f>+_xlfn.SINGLE(Bill_Name)</f>
        <v>Westland Construction</v>
      </c>
      <c r="BH17" s="383"/>
      <c r="BI17" s="383"/>
      <c r="BJ17" s="383"/>
      <c r="BK17" s="512"/>
    </row>
    <row r="18" spans="1:69" s="381" customFormat="1" ht="20.95" customHeight="1" x14ac:dyDescent="0.3">
      <c r="A18" s="372"/>
      <c r="B18" s="372"/>
      <c r="C18" s="384" t="s">
        <v>74</v>
      </c>
      <c r="D18" s="519" t="str">
        <f>+jobname</f>
        <v>Pago Pago Temple Endowment Change Order</v>
      </c>
      <c r="E18" s="520"/>
      <c r="F18" s="520"/>
      <c r="G18" s="520"/>
      <c r="H18" s="521"/>
      <c r="J18" s="385" t="s">
        <v>74</v>
      </c>
      <c r="K18" s="386" t="str">
        <f>+jobname</f>
        <v>Pago Pago Temple Endowment Change Order</v>
      </c>
      <c r="L18" s="387"/>
      <c r="M18" s="387"/>
      <c r="N18" s="387"/>
      <c r="O18" s="388"/>
      <c r="Q18" s="372"/>
      <c r="R18" s="372"/>
      <c r="S18" s="384" t="s">
        <v>74</v>
      </c>
      <c r="T18" s="519" t="str">
        <f>+jobname</f>
        <v>Pago Pago Temple Endowment Change Order</v>
      </c>
      <c r="U18" s="520"/>
      <c r="V18" s="520"/>
      <c r="W18" s="520"/>
      <c r="X18" s="521"/>
      <c r="Z18" s="385" t="s">
        <v>74</v>
      </c>
      <c r="AA18" s="386" t="str">
        <f>+jobname</f>
        <v>Pago Pago Temple Endowment Change Order</v>
      </c>
      <c r="AB18" s="387"/>
      <c r="AC18" s="387"/>
      <c r="AD18" s="387"/>
      <c r="AE18" s="388"/>
      <c r="AG18" s="372"/>
      <c r="AH18" s="372"/>
      <c r="AI18" s="384" t="s">
        <v>74</v>
      </c>
      <c r="AJ18" s="519" t="str">
        <f>+jobname</f>
        <v>Pago Pago Temple Endowment Change Order</v>
      </c>
      <c r="AK18" s="520"/>
      <c r="AL18" s="520"/>
      <c r="AM18" s="520"/>
      <c r="AN18" s="521"/>
      <c r="AP18" s="385" t="s">
        <v>74</v>
      </c>
      <c r="AQ18" s="386" t="str">
        <f>+jobname</f>
        <v>Pago Pago Temple Endowment Change Order</v>
      </c>
      <c r="AR18" s="387"/>
      <c r="AS18" s="387"/>
      <c r="AT18" s="387"/>
      <c r="AU18" s="388"/>
      <c r="AW18" s="372"/>
      <c r="AX18" s="372"/>
      <c r="AY18" s="384" t="s">
        <v>74</v>
      </c>
      <c r="AZ18" s="519" t="str">
        <f>+jobname</f>
        <v>Pago Pago Temple Endowment Change Order</v>
      </c>
      <c r="BA18" s="520"/>
      <c r="BB18" s="520"/>
      <c r="BC18" s="520"/>
      <c r="BD18" s="521"/>
      <c r="BF18" s="385" t="s">
        <v>74</v>
      </c>
      <c r="BG18" s="386" t="str">
        <f>+jobname</f>
        <v>Pago Pago Temple Endowment Change Order</v>
      </c>
      <c r="BH18" s="387"/>
      <c r="BI18" s="387"/>
      <c r="BJ18" s="387"/>
      <c r="BK18" s="388"/>
    </row>
    <row r="19" spans="1:69" s="381" customFormat="1" ht="20.95" customHeight="1" x14ac:dyDescent="0.3">
      <c r="A19" s="372" t="s">
        <v>77</v>
      </c>
      <c r="B19" s="372"/>
      <c r="C19" s="389" t="s">
        <v>22</v>
      </c>
      <c r="D19" s="390" cm="1">
        <f t="array" aca="1" ref="D19" ca="1">INDIRECT("Worksheet!$C"&amp;B16)</f>
        <v>134</v>
      </c>
      <c r="H19" s="391" t="str">
        <f>+IF(Worksheet!$Q$9=1,"Install",IF(Worksheet!$Q$9=2,"Deliver",IF(Worksheet!$Q$9=3,"Will Call",0)))</f>
        <v>Install</v>
      </c>
      <c r="J19" s="389" t="s">
        <v>22</v>
      </c>
      <c r="K19" s="392">
        <f ca="1">D19</f>
        <v>134</v>
      </c>
      <c r="N19" s="393" t="str">
        <f ca="1">G21</f>
        <v>Motor</v>
      </c>
      <c r="O19" s="394" t="str">
        <f ca="1">H21</f>
        <v>Idler</v>
      </c>
      <c r="Q19" s="372"/>
      <c r="R19" s="372"/>
      <c r="S19" s="389" t="s">
        <v>22</v>
      </c>
      <c r="T19" s="390" cm="1">
        <f t="array" aca="1" ref="T19" ca="1">INDIRECT("Worksheet!$C"&amp;R16)</f>
        <v>0</v>
      </c>
      <c r="X19" s="391" t="str">
        <f>+IF(Worksheet!$Q$9=1,"Install",IF(Worksheet!$Q$9=2,"Deliver",IF(Worksheet!$Q$9=3,"Will Call",0)))</f>
        <v>Install</v>
      </c>
      <c r="Z19" s="389" t="s">
        <v>22</v>
      </c>
      <c r="AA19" s="392">
        <f ca="1">T19</f>
        <v>0</v>
      </c>
      <c r="AD19" s="393" t="str">
        <f ca="1">W21</f>
        <v xml:space="preserve"> </v>
      </c>
      <c r="AE19" s="394" t="str">
        <f ca="1">X21</f>
        <v xml:space="preserve"> </v>
      </c>
      <c r="AG19" s="372"/>
      <c r="AH19" s="372"/>
      <c r="AI19" s="389" t="s">
        <v>22</v>
      </c>
      <c r="AJ19" s="390" cm="1">
        <f t="array" aca="1" ref="AJ19" ca="1">INDIRECT("Worksheet!$C"&amp;AH16)</f>
        <v>0</v>
      </c>
      <c r="AN19" s="391" t="str">
        <f>+IF(Worksheet!$Q$9=1,"Install",IF(Worksheet!$Q$9=2,"Deliver",IF(Worksheet!$Q$9=3,"Will Call",0)))</f>
        <v>Install</v>
      </c>
      <c r="AP19" s="389" t="s">
        <v>22</v>
      </c>
      <c r="AQ19" s="392">
        <f ca="1">AJ19</f>
        <v>0</v>
      </c>
      <c r="AT19" s="393" t="str">
        <f ca="1">AM21</f>
        <v xml:space="preserve"> </v>
      </c>
      <c r="AU19" s="394" t="str">
        <f ca="1">AN21</f>
        <v xml:space="preserve"> </v>
      </c>
      <c r="AW19" s="372"/>
      <c r="AX19" s="372"/>
      <c r="AY19" s="389" t="s">
        <v>22</v>
      </c>
      <c r="AZ19" s="390" cm="1">
        <f t="array" aca="1" ref="AZ19" ca="1">INDIRECT("Worksheet!$C"&amp;AX16)</f>
        <v>0</v>
      </c>
      <c r="BD19" s="391" t="str">
        <f>+IF(Worksheet!$Q$9=1,"Install",IF(Worksheet!$Q$9=2,"Deliver",IF(Worksheet!$Q$9=3,"Will Call",0)))</f>
        <v>Install</v>
      </c>
      <c r="BF19" s="389" t="s">
        <v>22</v>
      </c>
      <c r="BG19" s="392">
        <f ca="1">AZ19</f>
        <v>0</v>
      </c>
      <c r="BJ19" s="393" t="str">
        <f ca="1">BC21</f>
        <v xml:space="preserve"> </v>
      </c>
      <c r="BK19" s="394" t="str">
        <f ca="1">BD21</f>
        <v xml:space="preserve"> </v>
      </c>
    </row>
    <row r="20" spans="1:69" s="381" customFormat="1" ht="20.95" customHeight="1" x14ac:dyDescent="0.3">
      <c r="A20" s="372"/>
      <c r="B20" s="372"/>
      <c r="C20" s="395" t="str" cm="1">
        <f t="array" aca="1" ref="C20" ca="1">+IF(INDIRECT("Worksheet!$D"&amp;B16)&gt;0,INDIRECT("Worksheet!$E"&amp;B16),0)</f>
        <v>Tube 2.375</v>
      </c>
      <c r="D20" s="396" cm="1">
        <f t="array" aca="1" ref="D20" ca="1">INDIRECT("Worksheet!$F"&amp;B16)</f>
        <v>46.5</v>
      </c>
      <c r="E20" s="372" t="s">
        <v>4</v>
      </c>
      <c r="F20" s="397" cm="1">
        <f t="array" aca="1" ref="F20" ca="1">INDIRECT("Worksheet!$H"&amp;B16)</f>
        <v>141</v>
      </c>
      <c r="G20" s="398"/>
      <c r="H20" s="399" t="str" cm="1">
        <f t="array" aca="1" ref="H20" ca="1">INDIRECT("Worksheet!$I"&amp;B16)</f>
        <v>IB</v>
      </c>
      <c r="J20" s="395"/>
      <c r="N20" s="398"/>
      <c r="O20" s="399"/>
      <c r="Q20" s="372"/>
      <c r="R20" s="372"/>
      <c r="S20" s="395" cm="1">
        <f t="array" aca="1" ref="S20" ca="1">+IF(INDIRECT("Worksheet!$D"&amp;R16)&gt;0,INDIRECT("Worksheet!$E"&amp;R16),0)</f>
        <v>0</v>
      </c>
      <c r="T20" s="396" cm="1">
        <f t="array" aca="1" ref="T20" ca="1">INDIRECT("Worksheet!$F"&amp;R16)</f>
        <v>0</v>
      </c>
      <c r="U20" s="372" t="s">
        <v>4</v>
      </c>
      <c r="V20" s="397" cm="1">
        <f t="array" aca="1" ref="V20" ca="1">INDIRECT("Worksheet!$H"&amp;R16)</f>
        <v>0</v>
      </c>
      <c r="W20" s="398"/>
      <c r="X20" s="399" cm="1">
        <f t="array" aca="1" ref="X20" ca="1">INDIRECT("Worksheet!$I"&amp;R16)</f>
        <v>0</v>
      </c>
      <c r="Z20" s="395"/>
      <c r="AD20" s="398"/>
      <c r="AE20" s="399"/>
      <c r="AG20" s="372"/>
      <c r="AH20" s="372"/>
      <c r="AI20" s="395" cm="1">
        <f t="array" aca="1" ref="AI20" ca="1">+IF(INDIRECT("Worksheet!$D"&amp;AH16)&gt;0,INDIRECT("Worksheet!$E"&amp;AH16),0)</f>
        <v>0</v>
      </c>
      <c r="AJ20" s="396" cm="1">
        <f t="array" aca="1" ref="AJ20" ca="1">INDIRECT("Worksheet!$F"&amp;AH16)</f>
        <v>0</v>
      </c>
      <c r="AK20" s="372" t="s">
        <v>4</v>
      </c>
      <c r="AL20" s="397" cm="1">
        <f t="array" aca="1" ref="AL20" ca="1">INDIRECT("Worksheet!$H"&amp;AH16)</f>
        <v>0</v>
      </c>
      <c r="AM20" s="398"/>
      <c r="AN20" s="399" cm="1">
        <f t="array" aca="1" ref="AN20" ca="1">INDIRECT("Worksheet!$I"&amp;AH16)</f>
        <v>0</v>
      </c>
      <c r="AP20" s="395"/>
      <c r="AT20" s="398"/>
      <c r="AU20" s="399"/>
      <c r="AW20" s="372"/>
      <c r="AX20" s="372"/>
      <c r="AY20" s="395" cm="1">
        <f t="array" aca="1" ref="AY20" ca="1">+IF(INDIRECT("Worksheet!$D"&amp;AX16)&gt;0,INDIRECT("Worksheet!$E"&amp;AX16),0)</f>
        <v>0</v>
      </c>
      <c r="AZ20" s="396" cm="1">
        <f t="array" aca="1" ref="AZ20" ca="1">INDIRECT("Worksheet!$F"&amp;AX16)</f>
        <v>0</v>
      </c>
      <c r="BA20" s="372" t="s">
        <v>4</v>
      </c>
      <c r="BB20" s="397" cm="1">
        <f t="array" aca="1" ref="BB20" ca="1">INDIRECT("Worksheet!$H"&amp;AX16)</f>
        <v>0</v>
      </c>
      <c r="BC20" s="398"/>
      <c r="BD20" s="399" cm="1">
        <f t="array" aca="1" ref="BD20" ca="1">INDIRECT("Worksheet!$I"&amp;AX16)</f>
        <v>0</v>
      </c>
      <c r="BF20" s="395"/>
      <c r="BJ20" s="398"/>
      <c r="BK20" s="399"/>
    </row>
    <row r="21" spans="1:69" ht="20.95" customHeight="1" x14ac:dyDescent="0.3">
      <c r="C21" s="401" t="s">
        <v>18</v>
      </c>
      <c r="D21" s="522" t="str" cm="1">
        <f t="array" aca="1" ref="D21" ca="1">INDIRECT("Worksheet!$O"&amp;B16)</f>
        <v>VX Intimate Sing BO, Ivory</v>
      </c>
      <c r="E21" s="506"/>
      <c r="F21" s="506"/>
      <c r="G21" s="402" t="str" cm="1">
        <f t="array" aca="1" ref="G21" ca="1">INDIRECT("'Tube Cut'!$F"&amp;B16)</f>
        <v>Motor</v>
      </c>
      <c r="H21" s="403" t="str" cm="1">
        <f t="array" aca="1" ref="H21" ca="1">INDIRECT("'Tube Cut'!$G"&amp;B16)</f>
        <v>Idler</v>
      </c>
      <c r="J21" s="404" t="s">
        <v>824</v>
      </c>
      <c r="K21" s="397">
        <f ca="1">D20</f>
        <v>46.5</v>
      </c>
      <c r="L21" s="372" t="s">
        <v>4</v>
      </c>
      <c r="M21" s="397">
        <f ca="1">F20</f>
        <v>141</v>
      </c>
      <c r="N21" s="405"/>
      <c r="O21" s="403"/>
      <c r="S21" s="401" t="s">
        <v>18</v>
      </c>
      <c r="T21" s="522" cm="1">
        <f t="array" aca="1" ref="T21" ca="1">INDIRECT("Worksheet!$O"&amp;R16)</f>
        <v>0</v>
      </c>
      <c r="U21" s="506"/>
      <c r="V21" s="506"/>
      <c r="W21" s="402" t="str" cm="1">
        <f t="array" aca="1" ref="W21" ca="1">INDIRECT("'Tube Cut'!$F"&amp;R16)</f>
        <v xml:space="preserve"> </v>
      </c>
      <c r="X21" s="403" t="str" cm="1">
        <f t="array" aca="1" ref="X21" ca="1">INDIRECT("'Tube Cut'!$G"&amp;R16)</f>
        <v xml:space="preserve"> </v>
      </c>
      <c r="Z21" s="404" t="s">
        <v>824</v>
      </c>
      <c r="AA21" s="397">
        <f ca="1">T20</f>
        <v>0</v>
      </c>
      <c r="AB21" s="372" t="s">
        <v>4</v>
      </c>
      <c r="AC21" s="397">
        <f ca="1">V20</f>
        <v>0</v>
      </c>
      <c r="AD21" s="405"/>
      <c r="AE21" s="403"/>
      <c r="AI21" s="401" t="s">
        <v>18</v>
      </c>
      <c r="AJ21" s="522" cm="1">
        <f t="array" aca="1" ref="AJ21" ca="1">INDIRECT("Worksheet!$O"&amp;AH16)</f>
        <v>0</v>
      </c>
      <c r="AK21" s="506"/>
      <c r="AL21" s="506"/>
      <c r="AM21" s="402" t="str" cm="1">
        <f t="array" aca="1" ref="AM21" ca="1">INDIRECT("'Tube Cut'!$F"&amp;AH16)</f>
        <v xml:space="preserve"> </v>
      </c>
      <c r="AN21" s="403" t="str" cm="1">
        <f t="array" aca="1" ref="AN21" ca="1">INDIRECT("'Tube Cut'!$G"&amp;AH16)</f>
        <v xml:space="preserve"> </v>
      </c>
      <c r="AP21" s="404" t="s">
        <v>824</v>
      </c>
      <c r="AQ21" s="397">
        <f ca="1">AJ20</f>
        <v>0</v>
      </c>
      <c r="AR21" s="372" t="s">
        <v>4</v>
      </c>
      <c r="AS21" s="397">
        <f ca="1">AL20</f>
        <v>0</v>
      </c>
      <c r="AT21" s="405"/>
      <c r="AU21" s="403"/>
      <c r="AY21" s="401" t="s">
        <v>18</v>
      </c>
      <c r="AZ21" s="522" cm="1">
        <f t="array" aca="1" ref="AZ21" ca="1">INDIRECT("Worksheet!$O"&amp;AX16)</f>
        <v>0</v>
      </c>
      <c r="BA21" s="506"/>
      <c r="BB21" s="506"/>
      <c r="BC21" s="402" t="str" cm="1">
        <f t="array" aca="1" ref="BC21" ca="1">INDIRECT("'Tube Cut'!$F"&amp;AX16)</f>
        <v xml:space="preserve"> </v>
      </c>
      <c r="BD21" s="403" t="str" cm="1">
        <f t="array" aca="1" ref="BD21" ca="1">INDIRECT("'Tube Cut'!$G"&amp;AX16)</f>
        <v xml:space="preserve"> </v>
      </c>
      <c r="BF21" s="404" t="s">
        <v>824</v>
      </c>
      <c r="BG21" s="397">
        <f ca="1">AZ20</f>
        <v>0</v>
      </c>
      <c r="BH21" s="372" t="s">
        <v>4</v>
      </c>
      <c r="BI21" s="397">
        <f ca="1">BB20</f>
        <v>0</v>
      </c>
      <c r="BJ21" s="405"/>
      <c r="BK21" s="403"/>
    </row>
    <row r="22" spans="1:69" ht="20.95" customHeight="1" x14ac:dyDescent="0.3">
      <c r="C22" s="389" t="s">
        <v>23</v>
      </c>
      <c r="D22" s="406" t="str" cm="1">
        <f t="array" aca="1" ref="D22" ca="1">+IF(INDIRECT("Worksheet!$Q"&amp;B16)="V","fabric vertical",IF(INDIRECT("Worksheet!$Q"&amp;B16)="RR","fabric Railroad",0))</f>
        <v>fabric vertical</v>
      </c>
      <c r="E22" s="407" t="s">
        <v>24</v>
      </c>
      <c r="F22" s="408"/>
      <c r="G22" s="518" t="str" cm="1">
        <f t="array" aca="1" ref="G22" ca="1">+IF(INDIRECT("Worksheet!$J"&amp;B16)&gt;0,INDIRECT("Worksheet!$J"&amp;B16),"NO")</f>
        <v>Yes</v>
      </c>
      <c r="H22" s="517"/>
      <c r="J22" s="395"/>
      <c r="K22" s="409"/>
      <c r="L22" s="504" t="s">
        <v>825</v>
      </c>
      <c r="M22" s="504"/>
      <c r="N22" s="504"/>
      <c r="O22" s="505"/>
      <c r="S22" s="389" t="s">
        <v>23</v>
      </c>
      <c r="T22" s="406" cm="1">
        <f t="array" aca="1" ref="T22" ca="1">+IF(INDIRECT("Worksheet!$Q"&amp;R16)="V","fabric vertical",IF(INDIRECT("Worksheet!$Q"&amp;R16)="RR","fabric Railroad",0))</f>
        <v>0</v>
      </c>
      <c r="U22" s="407" t="s">
        <v>24</v>
      </c>
      <c r="V22" s="408"/>
      <c r="W22" s="518" t="str" cm="1">
        <f t="array" aca="1" ref="W22" ca="1">+IF(INDIRECT("Worksheet!$J"&amp;R16)&gt;0,INDIRECT("Worksheet!$J"&amp;R16),"NO")</f>
        <v>NO</v>
      </c>
      <c r="X22" s="517"/>
      <c r="Z22" s="395"/>
      <c r="AA22" s="409"/>
      <c r="AB22" s="504" t="s">
        <v>825</v>
      </c>
      <c r="AC22" s="504"/>
      <c r="AD22" s="504"/>
      <c r="AE22" s="505"/>
      <c r="AI22" s="389" t="s">
        <v>23</v>
      </c>
      <c r="AJ22" s="406" cm="1">
        <f t="array" aca="1" ref="AJ22" ca="1">+IF(INDIRECT("Worksheet!$Q"&amp;AH16)="V","fabric vertical",IF(INDIRECT("Worksheet!$Q"&amp;AH16)="RR","fabric Railroad",0))</f>
        <v>0</v>
      </c>
      <c r="AK22" s="407" t="s">
        <v>24</v>
      </c>
      <c r="AL22" s="408"/>
      <c r="AM22" s="518" t="str" cm="1">
        <f t="array" aca="1" ref="AM22" ca="1">+IF(INDIRECT("Worksheet!$J"&amp;AH16)&gt;0,INDIRECT("Worksheet!$J"&amp;AH16),"NO")</f>
        <v>NO</v>
      </c>
      <c r="AN22" s="517"/>
      <c r="AP22" s="395"/>
      <c r="AQ22" s="409"/>
      <c r="AR22" s="504" t="s">
        <v>825</v>
      </c>
      <c r="AS22" s="504"/>
      <c r="AT22" s="504"/>
      <c r="AU22" s="505"/>
      <c r="AY22" s="389" t="s">
        <v>23</v>
      </c>
      <c r="AZ22" s="406" cm="1">
        <f t="array" aca="1" ref="AZ22" ca="1">+IF(INDIRECT("Worksheet!$Q"&amp;AX16)="V","fabric vertical",IF(INDIRECT("Worksheet!$Q"&amp;AX16)="RR","fabric Railroad",0))</f>
        <v>0</v>
      </c>
      <c r="BA22" s="407" t="s">
        <v>24</v>
      </c>
      <c r="BB22" s="408"/>
      <c r="BC22" s="518" t="str" cm="1">
        <f t="array" aca="1" ref="BC22" ca="1">+IF(INDIRECT("Worksheet!$J"&amp;AX16)&gt;0,INDIRECT("Worksheet!$J"&amp;AX16),"NO")</f>
        <v>NO</v>
      </c>
      <c r="BD22" s="517"/>
      <c r="BF22" s="395"/>
      <c r="BG22" s="409"/>
      <c r="BH22" s="504" t="s">
        <v>825</v>
      </c>
      <c r="BI22" s="504"/>
      <c r="BJ22" s="504"/>
      <c r="BK22" s="505"/>
    </row>
    <row r="23" spans="1:69" s="409" customFormat="1" ht="20.95" customHeight="1" x14ac:dyDescent="0.3">
      <c r="A23" s="372"/>
      <c r="B23" s="372"/>
      <c r="C23" s="523" t="str" cm="1">
        <f t="array" aca="1" ref="C23" ca="1">+INDIRECT("Worksheet!$P"&amp;B16)</f>
        <v>Panel width - 43 3/4"center on tube</v>
      </c>
      <c r="D23" s="524"/>
      <c r="E23" s="407" t="s">
        <v>238</v>
      </c>
      <c r="F23" s="410"/>
      <c r="G23" s="516" t="str" cm="1">
        <f t="array" aca="1" ref="G23" ca="1">INDIRECT("Worksheet!$L"&amp;B16)</f>
        <v>Sealed</v>
      </c>
      <c r="H23" s="517"/>
      <c r="J23" s="411"/>
      <c r="L23" s="504"/>
      <c r="M23" s="504"/>
      <c r="N23" s="504"/>
      <c r="O23" s="505"/>
      <c r="Q23" s="372"/>
      <c r="R23" s="372"/>
      <c r="S23" s="523" t="str" cm="1">
        <f t="array" aca="1" ref="S23" ca="1">+INDIRECT("Worksheet!$P"&amp;R16)</f>
        <v xml:space="preserve"> </v>
      </c>
      <c r="T23" s="524"/>
      <c r="U23" s="407" t="s">
        <v>238</v>
      </c>
      <c r="V23" s="410"/>
      <c r="W23" s="516" t="str" cm="1">
        <f t="array" aca="1" ref="W23" ca="1">INDIRECT("Worksheet!$L"&amp;R16)</f>
        <v>Sealed</v>
      </c>
      <c r="X23" s="517"/>
      <c r="Z23" s="411"/>
      <c r="AB23" s="504"/>
      <c r="AC23" s="504"/>
      <c r="AD23" s="504"/>
      <c r="AE23" s="505"/>
      <c r="AG23" s="372"/>
      <c r="AH23" s="372"/>
      <c r="AI23" s="523" t="str" cm="1">
        <f t="array" aca="1" ref="AI23" ca="1">+INDIRECT("Worksheet!$P"&amp;AH16)</f>
        <v xml:space="preserve"> </v>
      </c>
      <c r="AJ23" s="524"/>
      <c r="AK23" s="407" t="s">
        <v>238</v>
      </c>
      <c r="AL23" s="410"/>
      <c r="AM23" s="516" t="str" cm="1">
        <f t="array" aca="1" ref="AM23" ca="1">INDIRECT("Worksheet!$L"&amp;AH16)</f>
        <v>Sealed</v>
      </c>
      <c r="AN23" s="517"/>
      <c r="AP23" s="411"/>
      <c r="AR23" s="504"/>
      <c r="AS23" s="504"/>
      <c r="AT23" s="504"/>
      <c r="AU23" s="505"/>
      <c r="AW23" s="372"/>
      <c r="AX23" s="372"/>
      <c r="AY23" s="523" t="str" cm="1">
        <f t="array" aca="1" ref="AY23" ca="1">+INDIRECT("Worksheet!$P"&amp;AX16)</f>
        <v xml:space="preserve"> </v>
      </c>
      <c r="AZ23" s="524"/>
      <c r="BA23" s="407" t="s">
        <v>238</v>
      </c>
      <c r="BB23" s="410"/>
      <c r="BC23" s="516" t="str" cm="1">
        <f t="array" aca="1" ref="BC23" ca="1">INDIRECT("Worksheet!$L"&amp;AX16)</f>
        <v>Sealed</v>
      </c>
      <c r="BD23" s="517"/>
      <c r="BF23" s="411"/>
      <c r="BH23" s="504"/>
      <c r="BI23" s="504"/>
      <c r="BJ23" s="504"/>
      <c r="BK23" s="505"/>
    </row>
    <row r="24" spans="1:69" ht="20.95" customHeight="1" x14ac:dyDescent="0.3">
      <c r="C24" s="412" t="s">
        <v>19</v>
      </c>
      <c r="D24" s="413" t="s">
        <v>25</v>
      </c>
      <c r="E24" s="407" t="s">
        <v>26</v>
      </c>
      <c r="F24" s="408"/>
      <c r="G24" s="516" t="str" cm="1">
        <f t="array" aca="1" ref="G24" ca="1">+IF(INDIRECT("Worksheet!$K"&amp;B16)&gt;0,INDIRECT("Worksheet!$K"&amp;B16),"NO facia")</f>
        <v>NO facia</v>
      </c>
      <c r="H24" s="517"/>
      <c r="J24" s="412" t="s">
        <v>19</v>
      </c>
      <c r="K24" s="413" t="s">
        <v>25</v>
      </c>
      <c r="L24" s="504"/>
      <c r="M24" s="504"/>
      <c r="N24" s="504"/>
      <c r="O24" s="505"/>
      <c r="S24" s="412" t="s">
        <v>19</v>
      </c>
      <c r="T24" s="413" t="s">
        <v>25</v>
      </c>
      <c r="U24" s="407" t="s">
        <v>26</v>
      </c>
      <c r="V24" s="408"/>
      <c r="W24" s="516" t="str" cm="1">
        <f t="array" aca="1" ref="W24" ca="1">+IF(INDIRECT("Worksheet!$K"&amp;R16)&gt;0,INDIRECT("Worksheet!$K"&amp;R16),"NO facia")</f>
        <v>NO facia</v>
      </c>
      <c r="X24" s="517"/>
      <c r="Z24" s="412" t="s">
        <v>19</v>
      </c>
      <c r="AA24" s="413" t="s">
        <v>25</v>
      </c>
      <c r="AB24" s="504"/>
      <c r="AC24" s="504"/>
      <c r="AD24" s="504"/>
      <c r="AE24" s="505"/>
      <c r="AI24" s="412" t="s">
        <v>19</v>
      </c>
      <c r="AJ24" s="413" t="s">
        <v>25</v>
      </c>
      <c r="AK24" s="407" t="s">
        <v>26</v>
      </c>
      <c r="AL24" s="408"/>
      <c r="AM24" s="516" t="str" cm="1">
        <f t="array" aca="1" ref="AM24" ca="1">+IF(INDIRECT("Worksheet!$K"&amp;AH16)&gt;0,INDIRECT("Worksheet!$K"&amp;AH16),"NO facia")</f>
        <v>NO facia</v>
      </c>
      <c r="AN24" s="517"/>
      <c r="AP24" s="412" t="s">
        <v>19</v>
      </c>
      <c r="AQ24" s="413" t="s">
        <v>25</v>
      </c>
      <c r="AR24" s="504"/>
      <c r="AS24" s="504"/>
      <c r="AT24" s="504"/>
      <c r="AU24" s="505"/>
      <c r="AY24" s="412" t="s">
        <v>19</v>
      </c>
      <c r="AZ24" s="413" t="s">
        <v>25</v>
      </c>
      <c r="BA24" s="407" t="s">
        <v>26</v>
      </c>
      <c r="BB24" s="408"/>
      <c r="BC24" s="516" t="str" cm="1">
        <f t="array" aca="1" ref="BC24" ca="1">+IF(INDIRECT("Worksheet!$K"&amp;AX16)&gt;0,INDIRECT("Worksheet!$K"&amp;AX16),"NO facia")</f>
        <v>NO facia</v>
      </c>
      <c r="BD24" s="517"/>
      <c r="BF24" s="412" t="s">
        <v>19</v>
      </c>
      <c r="BG24" s="413" t="s">
        <v>25</v>
      </c>
      <c r="BH24" s="504"/>
      <c r="BI24" s="504"/>
      <c r="BJ24" s="504"/>
      <c r="BK24" s="505"/>
    </row>
    <row r="25" spans="1:69" ht="29.15" customHeight="1" x14ac:dyDescent="0.45">
      <c r="C25" s="414" cm="1">
        <f t="array" aca="1" ref="C25" ca="1">+D20-INDIRECT("Worksheet!$AL"&amp;B16)</f>
        <v>44.5</v>
      </c>
      <c r="D25" s="415">
        <f ca="1">ROUND(+F20+16,0)</f>
        <v>157</v>
      </c>
      <c r="E25" s="407" t="s">
        <v>27</v>
      </c>
      <c r="F25" s="408"/>
      <c r="G25" s="516" t="str" cm="1">
        <f t="array" aca="1" ref="G25" ca="1">+IF(INDIRECT("Worksheet!$K"&amp;B16)&gt;0,IF(INDIRECT("Worksheet!$S"&amp;B16)="yes","Double Brkts",IF(INDIRECT("Worksheet!$S"&amp;B16)="NO","facia brkts","reg. brkts")),"reg. brkts")</f>
        <v>reg. brkts</v>
      </c>
      <c r="H25" s="517"/>
      <c r="J25" s="416">
        <f ca="1">C25</f>
        <v>44.5</v>
      </c>
      <c r="K25" s="417">
        <f ca="1">D25</f>
        <v>157</v>
      </c>
      <c r="L25" s="506"/>
      <c r="M25" s="506"/>
      <c r="N25" s="506"/>
      <c r="O25" s="507"/>
      <c r="S25" s="414" cm="1">
        <f t="array" aca="1" ref="S25" ca="1">+T20-INDIRECT("Worksheet!$AL"&amp;R16)</f>
        <v>0</v>
      </c>
      <c r="T25" s="415">
        <f ca="1">ROUND(+V20+16,0)</f>
        <v>16</v>
      </c>
      <c r="U25" s="407" t="s">
        <v>27</v>
      </c>
      <c r="V25" s="408"/>
      <c r="W25" s="516" t="str" cm="1">
        <f t="array" aca="1" ref="W25" ca="1">+IF(INDIRECT("Worksheet!$K"&amp;R16)&gt;0,IF(INDIRECT("Worksheet!$S"&amp;R16)="yes","Double Brkts",IF(INDIRECT("Worksheet!$S"&amp;R16)="NO","facia brkts","reg. brkts")),"reg. brkts")</f>
        <v>reg. brkts</v>
      </c>
      <c r="X25" s="517"/>
      <c r="Z25" s="416">
        <f ca="1">S25</f>
        <v>0</v>
      </c>
      <c r="AA25" s="417">
        <f ca="1">T25</f>
        <v>16</v>
      </c>
      <c r="AB25" s="506"/>
      <c r="AC25" s="506"/>
      <c r="AD25" s="506"/>
      <c r="AE25" s="507"/>
      <c r="AI25" s="414" cm="1">
        <f t="array" aca="1" ref="AI25" ca="1">+AJ20-INDIRECT("Worksheet!$AL"&amp;AH16)</f>
        <v>0</v>
      </c>
      <c r="AJ25" s="415">
        <f ca="1">ROUND(+AL20+16,0)</f>
        <v>16</v>
      </c>
      <c r="AK25" s="407" t="s">
        <v>27</v>
      </c>
      <c r="AL25" s="408"/>
      <c r="AM25" s="516" t="str" cm="1">
        <f t="array" aca="1" ref="AM25" ca="1">+IF(INDIRECT("Worksheet!$K"&amp;AH16)&gt;0,IF(INDIRECT("Worksheet!$S"&amp;AH16)="yes","Double Brkts",IF(INDIRECT("Worksheet!$S"&amp;AH16)="NO","facia brkts","reg. brkts")),"reg. brkts")</f>
        <v>reg. brkts</v>
      </c>
      <c r="AN25" s="517"/>
      <c r="AP25" s="416">
        <f ca="1">AI25</f>
        <v>0</v>
      </c>
      <c r="AQ25" s="417">
        <f ca="1">AJ25</f>
        <v>16</v>
      </c>
      <c r="AR25" s="506"/>
      <c r="AS25" s="506"/>
      <c r="AT25" s="506"/>
      <c r="AU25" s="507"/>
      <c r="AY25" s="414" cm="1">
        <f t="array" aca="1" ref="AY25" ca="1">+AZ20-INDIRECT("Worksheet!$AL"&amp;AX16)</f>
        <v>0</v>
      </c>
      <c r="AZ25" s="415">
        <f ca="1">ROUND(+BB20+16,0)</f>
        <v>16</v>
      </c>
      <c r="BA25" s="407" t="s">
        <v>27</v>
      </c>
      <c r="BB25" s="408"/>
      <c r="BC25" s="516" t="str" cm="1">
        <f t="array" aca="1" ref="BC25" ca="1">+IF(INDIRECT("Worksheet!$K"&amp;AX16)&gt;0,IF(INDIRECT("Worksheet!$S"&amp;AX16)="yes","Double Brkts",IF(INDIRECT("Worksheet!$S"&amp;AX16)="NO","facia brkts","reg. brkts")),"reg. brkts")</f>
        <v>reg. brkts</v>
      </c>
      <c r="BD25" s="517"/>
      <c r="BF25" s="416">
        <f ca="1">AY25</f>
        <v>0</v>
      </c>
      <c r="BG25" s="417">
        <f ca="1">AZ25</f>
        <v>16</v>
      </c>
      <c r="BH25" s="506"/>
      <c r="BI25" s="506"/>
      <c r="BJ25" s="506"/>
      <c r="BK25" s="507"/>
    </row>
    <row r="26" spans="1:69" ht="29.95" customHeight="1" thickBot="1" x14ac:dyDescent="0.55000000000000004">
      <c r="A26" s="372" t="s">
        <v>77</v>
      </c>
      <c r="C26" s="418"/>
      <c r="D26" s="419" t="str">
        <f ca="1">+IF(C20&gt;0,"ROLLERSHADE","do not use")</f>
        <v>ROLLERSHADE</v>
      </c>
      <c r="E26" s="420"/>
      <c r="F26" s="420"/>
      <c r="G26" s="420"/>
      <c r="H26" s="421"/>
      <c r="J26" s="422"/>
      <c r="K26" s="423" t="str">
        <f ca="1">+IF(C20&gt;0,"TUBE SIZE","do not use")</f>
        <v>TUBE SIZE</v>
      </c>
      <c r="L26" s="424"/>
      <c r="M26" s="424"/>
      <c r="N26" s="502" t="str">
        <f ca="1">C20</f>
        <v>Tube 2.375</v>
      </c>
      <c r="O26" s="503"/>
      <c r="S26" s="418"/>
      <c r="T26" s="419" t="str">
        <f ca="1">+IF(S20&gt;0,"ROLLERSHADE","do not use")</f>
        <v>do not use</v>
      </c>
      <c r="U26" s="420"/>
      <c r="V26" s="420"/>
      <c r="W26" s="420"/>
      <c r="X26" s="421"/>
      <c r="Z26" s="422"/>
      <c r="AA26" s="423" t="str">
        <f ca="1">+IF(S20&gt;0,"TUBE SIZE","do not use")</f>
        <v>do not use</v>
      </c>
      <c r="AB26" s="424"/>
      <c r="AC26" s="424"/>
      <c r="AD26" s="502">
        <f ca="1">S20</f>
        <v>0</v>
      </c>
      <c r="AE26" s="503"/>
      <c r="AI26" s="418"/>
      <c r="AJ26" s="419" t="str">
        <f ca="1">+IF(AI20&gt;0,"ROLLERSHADE","do not use")</f>
        <v>do not use</v>
      </c>
      <c r="AK26" s="420"/>
      <c r="AL26" s="420"/>
      <c r="AM26" s="420"/>
      <c r="AN26" s="421"/>
      <c r="AP26" s="422"/>
      <c r="AQ26" s="423" t="str">
        <f ca="1">+IF(AI20&gt;0,"TUBE SIZE","do not use")</f>
        <v>do not use</v>
      </c>
      <c r="AR26" s="424"/>
      <c r="AS26" s="424"/>
      <c r="AT26" s="502">
        <f ca="1">AI20</f>
        <v>0</v>
      </c>
      <c r="AU26" s="503"/>
      <c r="AY26" s="418"/>
      <c r="AZ26" s="419" t="str">
        <f ca="1">+IF(AY20&gt;0,"ROLLERSHADE","do not use")</f>
        <v>do not use</v>
      </c>
      <c r="BA26" s="420"/>
      <c r="BB26" s="420"/>
      <c r="BC26" s="420"/>
      <c r="BD26" s="421"/>
      <c r="BF26" s="422"/>
      <c r="BG26" s="423" t="str">
        <f ca="1">+IF(AY20&gt;0,"TUBE SIZE","do not use")</f>
        <v>do not use</v>
      </c>
      <c r="BH26" s="424"/>
      <c r="BI26" s="424"/>
      <c r="BJ26" s="502">
        <f ca="1">AY20</f>
        <v>0</v>
      </c>
      <c r="BK26" s="503"/>
    </row>
    <row r="27" spans="1:69" ht="79.849999999999994" customHeight="1" thickBot="1" x14ac:dyDescent="0.7">
      <c r="C27" s="425"/>
      <c r="D27" s="426"/>
      <c r="J27" s="425"/>
      <c r="K27" s="426"/>
      <c r="S27" s="425"/>
      <c r="T27" s="426"/>
      <c r="Z27" s="425"/>
      <c r="AA27" s="426"/>
      <c r="AI27" s="425"/>
      <c r="AJ27" s="426"/>
      <c r="AP27" s="425"/>
      <c r="AQ27" s="426"/>
      <c r="AY27" s="425"/>
      <c r="AZ27" s="426"/>
      <c r="BF27" s="425"/>
      <c r="BG27" s="426"/>
    </row>
    <row r="28" spans="1:69" ht="20.95" customHeight="1" thickBot="1" x14ac:dyDescent="0.35">
      <c r="A28" s="372" t="s">
        <v>207</v>
      </c>
      <c r="B28" s="372">
        <v>17</v>
      </c>
      <c r="C28" s="377" t="s">
        <v>20</v>
      </c>
      <c r="D28" s="508">
        <f>+jobnumber</f>
        <v>30894</v>
      </c>
      <c r="E28" s="509"/>
      <c r="F28" s="509"/>
      <c r="G28" s="510"/>
      <c r="H28" s="511" t="str" cm="1">
        <f t="array" aca="1" ref="H28" ca="1">INDIRECT("Worksheet!$B"&amp;B28)</f>
        <v>A3</v>
      </c>
      <c r="J28" s="377" t="s">
        <v>20</v>
      </c>
      <c r="K28" s="378">
        <f>+jobnumber</f>
        <v>30894</v>
      </c>
      <c r="L28" s="379"/>
      <c r="M28" s="379"/>
      <c r="N28" s="379"/>
      <c r="O28" s="511" t="str">
        <f ca="1">H28</f>
        <v>A3</v>
      </c>
      <c r="Q28" s="372" t="s">
        <v>53</v>
      </c>
      <c r="R28" s="372">
        <v>22</v>
      </c>
      <c r="S28" s="377" t="s">
        <v>20</v>
      </c>
      <c r="T28" s="508">
        <f>+jobnumber</f>
        <v>30894</v>
      </c>
      <c r="U28" s="509"/>
      <c r="V28" s="509"/>
      <c r="W28" s="510"/>
      <c r="X28" s="511" t="str" cm="1">
        <f t="array" aca="1" ref="X28" ca="1">INDIRECT("Worksheet!$B"&amp;R28)</f>
        <v>A8</v>
      </c>
      <c r="Z28" s="377" t="s">
        <v>20</v>
      </c>
      <c r="AA28" s="378">
        <f>+jobnumber</f>
        <v>30894</v>
      </c>
      <c r="AB28" s="379"/>
      <c r="AC28" s="379"/>
      <c r="AD28" s="379"/>
      <c r="AE28" s="511" t="str">
        <f ca="1">X28</f>
        <v>A8</v>
      </c>
      <c r="AG28" s="372" t="s">
        <v>59</v>
      </c>
      <c r="AH28" s="372">
        <v>27</v>
      </c>
      <c r="AI28" s="377" t="s">
        <v>20</v>
      </c>
      <c r="AJ28" s="508">
        <f>+jobnumber</f>
        <v>30894</v>
      </c>
      <c r="AK28" s="509"/>
      <c r="AL28" s="509"/>
      <c r="AM28" s="510"/>
      <c r="AN28" s="511" t="str" cm="1">
        <f t="array" aca="1" ref="AN28" ca="1">INDIRECT("Worksheet!$B"&amp;AH28)</f>
        <v>A13</v>
      </c>
      <c r="AP28" s="377" t="s">
        <v>20</v>
      </c>
      <c r="AQ28" s="378">
        <f>+jobnumber</f>
        <v>30894</v>
      </c>
      <c r="AR28" s="379"/>
      <c r="AS28" s="379"/>
      <c r="AT28" s="379"/>
      <c r="AU28" s="511" t="str">
        <f ca="1">AN28</f>
        <v>A13</v>
      </c>
      <c r="AW28" s="372" t="s">
        <v>64</v>
      </c>
      <c r="AX28" s="372">
        <v>32</v>
      </c>
      <c r="AY28" s="377" t="s">
        <v>20</v>
      </c>
      <c r="AZ28" s="508">
        <f>+jobnumber</f>
        <v>30894</v>
      </c>
      <c r="BA28" s="509"/>
      <c r="BB28" s="509"/>
      <c r="BC28" s="510"/>
      <c r="BD28" s="511" t="str" cm="1">
        <f t="array" aca="1" ref="BD28" ca="1">INDIRECT("Worksheet!$B"&amp;AX28)</f>
        <v>A18</v>
      </c>
      <c r="BF28" s="377" t="s">
        <v>20</v>
      </c>
      <c r="BG28" s="378">
        <f>+jobnumber</f>
        <v>30894</v>
      </c>
      <c r="BH28" s="379"/>
      <c r="BI28" s="379"/>
      <c r="BJ28" s="379"/>
      <c r="BK28" s="511" t="str">
        <f ca="1">BD28</f>
        <v>A18</v>
      </c>
    </row>
    <row r="29" spans="1:69" ht="20.95" customHeight="1" thickBot="1" x14ac:dyDescent="0.35">
      <c r="C29" s="380" t="s">
        <v>21</v>
      </c>
      <c r="D29" s="513" t="str">
        <f>+_xlfn.SINGLE(Bill_Name)</f>
        <v>Westland Construction</v>
      </c>
      <c r="E29" s="514"/>
      <c r="F29" s="514"/>
      <c r="G29" s="515"/>
      <c r="H29" s="512"/>
      <c r="I29" s="381"/>
      <c r="J29" s="380" t="s">
        <v>21</v>
      </c>
      <c r="K29" s="382" t="str">
        <f>+_xlfn.SINGLE(Bill_Name)</f>
        <v>Westland Construction</v>
      </c>
      <c r="L29" s="383"/>
      <c r="M29" s="383"/>
      <c r="N29" s="383"/>
      <c r="O29" s="512"/>
      <c r="S29" s="380" t="s">
        <v>21</v>
      </c>
      <c r="T29" s="513" t="str">
        <f>+_xlfn.SINGLE(Bill_Name)</f>
        <v>Westland Construction</v>
      </c>
      <c r="U29" s="514"/>
      <c r="V29" s="514"/>
      <c r="W29" s="515"/>
      <c r="X29" s="512"/>
      <c r="Y29" s="381"/>
      <c r="Z29" s="380" t="s">
        <v>21</v>
      </c>
      <c r="AA29" s="382" t="str">
        <f>+_xlfn.SINGLE(Bill_Name)</f>
        <v>Westland Construction</v>
      </c>
      <c r="AB29" s="383"/>
      <c r="AC29" s="383"/>
      <c r="AD29" s="383"/>
      <c r="AE29" s="512"/>
      <c r="AI29" s="380" t="s">
        <v>21</v>
      </c>
      <c r="AJ29" s="513" t="str">
        <f>+_xlfn.SINGLE(Bill_Name)</f>
        <v>Westland Construction</v>
      </c>
      <c r="AK29" s="514"/>
      <c r="AL29" s="514"/>
      <c r="AM29" s="515"/>
      <c r="AN29" s="512"/>
      <c r="AO29" s="381"/>
      <c r="AP29" s="380" t="s">
        <v>21</v>
      </c>
      <c r="AQ29" s="382" t="str">
        <f>+_xlfn.SINGLE(Bill_Name)</f>
        <v>Westland Construction</v>
      </c>
      <c r="AR29" s="383"/>
      <c r="AS29" s="383"/>
      <c r="AT29" s="383"/>
      <c r="AU29" s="512"/>
      <c r="AY29" s="380" t="s">
        <v>21</v>
      </c>
      <c r="AZ29" s="513" t="str">
        <f>+_xlfn.SINGLE(Bill_Name)</f>
        <v>Westland Construction</v>
      </c>
      <c r="BA29" s="514"/>
      <c r="BB29" s="514"/>
      <c r="BC29" s="515"/>
      <c r="BD29" s="512"/>
      <c r="BE29" s="381"/>
      <c r="BF29" s="380" t="s">
        <v>21</v>
      </c>
      <c r="BG29" s="382" t="str">
        <f>+_xlfn.SINGLE(Bill_Name)</f>
        <v>Westland Construction</v>
      </c>
      <c r="BH29" s="383"/>
      <c r="BI29" s="383"/>
      <c r="BJ29" s="383"/>
      <c r="BK29" s="512"/>
    </row>
    <row r="30" spans="1:69" s="381" customFormat="1" ht="20.95" customHeight="1" x14ac:dyDescent="0.3">
      <c r="A30" s="372"/>
      <c r="B30" s="372"/>
      <c r="C30" s="384" t="s">
        <v>74</v>
      </c>
      <c r="D30" s="519" t="str">
        <f>+jobname</f>
        <v>Pago Pago Temple Endowment Change Order</v>
      </c>
      <c r="E30" s="520"/>
      <c r="F30" s="520"/>
      <c r="G30" s="520"/>
      <c r="H30" s="521"/>
      <c r="J30" s="385" t="s">
        <v>74</v>
      </c>
      <c r="K30" s="386" t="str">
        <f>+jobname</f>
        <v>Pago Pago Temple Endowment Change Order</v>
      </c>
      <c r="L30" s="387"/>
      <c r="M30" s="387"/>
      <c r="N30" s="387"/>
      <c r="O30" s="388"/>
      <c r="Q30" s="372"/>
      <c r="R30" s="372"/>
      <c r="S30" s="384" t="s">
        <v>74</v>
      </c>
      <c r="T30" s="519" t="str">
        <f>+jobname</f>
        <v>Pago Pago Temple Endowment Change Order</v>
      </c>
      <c r="U30" s="520"/>
      <c r="V30" s="520"/>
      <c r="W30" s="520"/>
      <c r="X30" s="521"/>
      <c r="Z30" s="385" t="s">
        <v>74</v>
      </c>
      <c r="AA30" s="386" t="str">
        <f>+jobname</f>
        <v>Pago Pago Temple Endowment Change Order</v>
      </c>
      <c r="AB30" s="387"/>
      <c r="AC30" s="387"/>
      <c r="AD30" s="387"/>
      <c r="AE30" s="388"/>
      <c r="AG30" s="372"/>
      <c r="AH30" s="372"/>
      <c r="AI30" s="384" t="s">
        <v>74</v>
      </c>
      <c r="AJ30" s="519" t="str">
        <f>+jobname</f>
        <v>Pago Pago Temple Endowment Change Order</v>
      </c>
      <c r="AK30" s="520"/>
      <c r="AL30" s="520"/>
      <c r="AM30" s="520"/>
      <c r="AN30" s="521"/>
      <c r="AP30" s="385" t="s">
        <v>74</v>
      </c>
      <c r="AQ30" s="386" t="str">
        <f>+jobname</f>
        <v>Pago Pago Temple Endowment Change Order</v>
      </c>
      <c r="AR30" s="387"/>
      <c r="AS30" s="387"/>
      <c r="AT30" s="387"/>
      <c r="AU30" s="388"/>
      <c r="AW30" s="372"/>
      <c r="AX30" s="372"/>
      <c r="AY30" s="384" t="s">
        <v>74</v>
      </c>
      <c r="AZ30" s="519" t="str">
        <f>+jobname</f>
        <v>Pago Pago Temple Endowment Change Order</v>
      </c>
      <c r="BA30" s="520"/>
      <c r="BB30" s="520"/>
      <c r="BC30" s="520"/>
      <c r="BD30" s="521"/>
      <c r="BF30" s="385" t="s">
        <v>74</v>
      </c>
      <c r="BG30" s="386" t="str">
        <f>+jobname</f>
        <v>Pago Pago Temple Endowment Change Order</v>
      </c>
      <c r="BH30" s="387"/>
      <c r="BI30" s="387"/>
      <c r="BJ30" s="387"/>
      <c r="BK30" s="388"/>
    </row>
    <row r="31" spans="1:69" s="381" customFormat="1" ht="20.95" customHeight="1" x14ac:dyDescent="0.3">
      <c r="A31" s="372"/>
      <c r="B31" s="372"/>
      <c r="C31" s="389" t="s">
        <v>22</v>
      </c>
      <c r="D31" s="390" cm="1">
        <f t="array" aca="1" ref="D31" ca="1">INDIRECT("Worksheet!$C"&amp;B28)</f>
        <v>135</v>
      </c>
      <c r="H31" s="391" t="str">
        <f>+IF(Worksheet!$Q$9=1,"Install",IF(Worksheet!$Q$9=2,"Deliver",IF(Worksheet!$Q$9=3,"Will Call",0)))</f>
        <v>Install</v>
      </c>
      <c r="J31" s="389" t="s">
        <v>22</v>
      </c>
      <c r="K31" s="392">
        <f ca="1">D31</f>
        <v>135</v>
      </c>
      <c r="N31" s="393" t="str">
        <f ca="1">G33</f>
        <v>Motor</v>
      </c>
      <c r="O31" s="394" t="str">
        <f ca="1">H33</f>
        <v>Idler</v>
      </c>
      <c r="Q31" s="372"/>
      <c r="R31" s="372"/>
      <c r="S31" s="389" t="s">
        <v>22</v>
      </c>
      <c r="T31" s="390" cm="1">
        <f t="array" aca="1" ref="T31" ca="1">INDIRECT("Worksheet!$C"&amp;R28)</f>
        <v>0</v>
      </c>
      <c r="X31" s="391" t="str">
        <f>+IF(Worksheet!$Q$9=1,"Install",IF(Worksheet!$Q$9=2,"Deliver",IF(Worksheet!$Q$9=3,"Will Call",0)))</f>
        <v>Install</v>
      </c>
      <c r="Z31" s="389" t="s">
        <v>22</v>
      </c>
      <c r="AA31" s="392">
        <f ca="1">T31</f>
        <v>0</v>
      </c>
      <c r="AD31" s="393" t="str">
        <f ca="1">W33</f>
        <v xml:space="preserve"> </v>
      </c>
      <c r="AE31" s="394" t="str">
        <f ca="1">X33</f>
        <v xml:space="preserve"> </v>
      </c>
      <c r="AG31" s="372"/>
      <c r="AH31" s="372"/>
      <c r="AI31" s="389" t="s">
        <v>22</v>
      </c>
      <c r="AJ31" s="390" cm="1">
        <f t="array" aca="1" ref="AJ31" ca="1">INDIRECT("Worksheet!$C"&amp;AH28)</f>
        <v>0</v>
      </c>
      <c r="AN31" s="391" t="str">
        <f>+IF(Worksheet!$Q$9=1,"Install",IF(Worksheet!$Q$9=2,"Deliver",IF(Worksheet!$Q$9=3,"Will Call",0)))</f>
        <v>Install</v>
      </c>
      <c r="AP31" s="389" t="s">
        <v>22</v>
      </c>
      <c r="AQ31" s="392">
        <f ca="1">AJ31</f>
        <v>0</v>
      </c>
      <c r="AT31" s="393" t="str">
        <f ca="1">AM33</f>
        <v xml:space="preserve"> </v>
      </c>
      <c r="AU31" s="394" t="str">
        <f ca="1">AN33</f>
        <v xml:space="preserve"> </v>
      </c>
      <c r="AW31" s="372"/>
      <c r="AX31" s="372"/>
      <c r="AY31" s="389" t="s">
        <v>22</v>
      </c>
      <c r="AZ31" s="390" cm="1">
        <f t="array" aca="1" ref="AZ31" ca="1">INDIRECT("Worksheet!$C"&amp;AX28)</f>
        <v>0</v>
      </c>
      <c r="BD31" s="391" t="str">
        <f>+IF(Worksheet!$Q$9=1,"Install",IF(Worksheet!$Q$9=2,"Deliver",IF(Worksheet!$Q$9=3,"Will Call",0)))</f>
        <v>Install</v>
      </c>
      <c r="BF31" s="389" t="s">
        <v>22</v>
      </c>
      <c r="BG31" s="392">
        <f ca="1">AZ31</f>
        <v>0</v>
      </c>
      <c r="BJ31" s="393" t="str">
        <f ca="1">BC33</f>
        <v xml:space="preserve"> </v>
      </c>
      <c r="BK31" s="394" t="str">
        <f ca="1">BD33</f>
        <v xml:space="preserve"> </v>
      </c>
      <c r="BP31" s="103"/>
      <c r="BQ31" s="103"/>
    </row>
    <row r="32" spans="1:69" s="381" customFormat="1" ht="20.95" customHeight="1" x14ac:dyDescent="0.3">
      <c r="A32" s="372"/>
      <c r="B32" s="372"/>
      <c r="C32" s="395" t="str" cm="1">
        <f t="array" aca="1" ref="C32" ca="1">+IF(INDIRECT("Worksheet!$D"&amp;B28)&gt;0,INDIRECT("Worksheet!$E"&amp;B28),0)</f>
        <v>Tube 2.375</v>
      </c>
      <c r="D32" s="396" cm="1">
        <f t="array" aca="1" ref="D32" ca="1">INDIRECT("Worksheet!$F"&amp;B28)</f>
        <v>36</v>
      </c>
      <c r="E32" s="372" t="s">
        <v>4</v>
      </c>
      <c r="F32" s="397" cm="1">
        <f t="array" aca="1" ref="F32" ca="1">INDIRECT("Worksheet!$H"&amp;B28)</f>
        <v>141</v>
      </c>
      <c r="G32" s="398"/>
      <c r="H32" s="399" t="str" cm="1">
        <f t="array" aca="1" ref="H32" ca="1">INDIRECT("Worksheet!$I"&amp;B28)</f>
        <v>IB</v>
      </c>
      <c r="J32" s="395"/>
      <c r="N32" s="398"/>
      <c r="O32" s="399"/>
      <c r="Q32" s="372"/>
      <c r="R32" s="372"/>
      <c r="S32" s="395" cm="1">
        <f t="array" aca="1" ref="S32" ca="1">+IF(INDIRECT("Worksheet!$D"&amp;R28)&gt;0,INDIRECT("Worksheet!$E"&amp;R28),0)</f>
        <v>0</v>
      </c>
      <c r="T32" s="396" cm="1">
        <f t="array" aca="1" ref="T32" ca="1">INDIRECT("Worksheet!$F"&amp;R28)</f>
        <v>0</v>
      </c>
      <c r="U32" s="372" t="s">
        <v>4</v>
      </c>
      <c r="V32" s="397" cm="1">
        <f t="array" aca="1" ref="V32" ca="1">INDIRECT("Worksheet!$H"&amp;R28)</f>
        <v>0</v>
      </c>
      <c r="W32" s="398"/>
      <c r="X32" s="399" cm="1">
        <f t="array" aca="1" ref="X32" ca="1">INDIRECT("Worksheet!$I"&amp;R28)</f>
        <v>0</v>
      </c>
      <c r="Z32" s="395"/>
      <c r="AD32" s="398"/>
      <c r="AE32" s="399"/>
      <c r="AG32" s="372"/>
      <c r="AH32" s="372"/>
      <c r="AI32" s="395" cm="1">
        <f t="array" aca="1" ref="AI32" ca="1">+IF(INDIRECT("Worksheet!$D"&amp;AH28)&gt;0,INDIRECT("Worksheet!$E"&amp;AH28),0)</f>
        <v>0</v>
      </c>
      <c r="AJ32" s="396" cm="1">
        <f t="array" aca="1" ref="AJ32" ca="1">INDIRECT("Worksheet!$F"&amp;AH28)</f>
        <v>0</v>
      </c>
      <c r="AK32" s="372" t="s">
        <v>4</v>
      </c>
      <c r="AL32" s="397" cm="1">
        <f t="array" aca="1" ref="AL32" ca="1">INDIRECT("Worksheet!$H"&amp;AH28)</f>
        <v>0</v>
      </c>
      <c r="AM32" s="398"/>
      <c r="AN32" s="399" cm="1">
        <f t="array" aca="1" ref="AN32" ca="1">INDIRECT("Worksheet!$I"&amp;AH28)</f>
        <v>0</v>
      </c>
      <c r="AP32" s="395"/>
      <c r="AT32" s="398"/>
      <c r="AU32" s="399"/>
      <c r="AW32" s="372"/>
      <c r="AX32" s="372"/>
      <c r="AY32" s="395" cm="1">
        <f t="array" aca="1" ref="AY32" ca="1">+IF(INDIRECT("Worksheet!$D"&amp;AX28)&gt;0,INDIRECT("Worksheet!$E"&amp;AX28),0)</f>
        <v>0</v>
      </c>
      <c r="AZ32" s="396" cm="1">
        <f t="array" aca="1" ref="AZ32" ca="1">INDIRECT("Worksheet!$F"&amp;AX28)</f>
        <v>0</v>
      </c>
      <c r="BA32" s="372" t="s">
        <v>4</v>
      </c>
      <c r="BB32" s="397" cm="1">
        <f t="array" aca="1" ref="BB32" ca="1">INDIRECT("Worksheet!$H"&amp;AX28)</f>
        <v>0</v>
      </c>
      <c r="BC32" s="398"/>
      <c r="BD32" s="399" cm="1">
        <f t="array" aca="1" ref="BD32" ca="1">INDIRECT("Worksheet!$I"&amp;AX28)</f>
        <v>0</v>
      </c>
      <c r="BF32" s="395"/>
      <c r="BJ32" s="398"/>
      <c r="BK32" s="399"/>
      <c r="BP32" s="103"/>
      <c r="BQ32" s="103"/>
    </row>
    <row r="33" spans="1:69" ht="20.95" customHeight="1" x14ac:dyDescent="0.3">
      <c r="C33" s="401" t="s">
        <v>18</v>
      </c>
      <c r="D33" s="527" t="str" cm="1">
        <f t="array" aca="1" ref="D33" ca="1">INDIRECT("Worksheet!$O"&amp;B28)</f>
        <v>VX Intimate Sing BO, Ivory</v>
      </c>
      <c r="E33" s="528" cm="1">
        <f t="array" aca="1" ref="E33" ca="1">INDIRECT("Worksheet!$C"&amp;$B$4)</f>
        <v>134</v>
      </c>
      <c r="F33" s="528" cm="1">
        <f t="array" aca="1" ref="F33" ca="1">INDIRECT("Worksheet!$C"&amp;$B$4)</f>
        <v>134</v>
      </c>
      <c r="G33" s="402" t="str" cm="1">
        <f t="array" aca="1" ref="G33" ca="1">INDIRECT("'Tube Cut'!$F"&amp;B28)</f>
        <v>Motor</v>
      </c>
      <c r="H33" s="403" t="str" cm="1">
        <f t="array" aca="1" ref="H33" ca="1">INDIRECT("'Tube Cut'!$G"&amp;B28)</f>
        <v>Idler</v>
      </c>
      <c r="J33" s="404" t="s">
        <v>824</v>
      </c>
      <c r="K33" s="397">
        <f ca="1">D32</f>
        <v>36</v>
      </c>
      <c r="L33" s="372" t="s">
        <v>4</v>
      </c>
      <c r="M33" s="397">
        <f ca="1">F32</f>
        <v>141</v>
      </c>
      <c r="N33" s="405"/>
      <c r="O33" s="403"/>
      <c r="S33" s="401" t="s">
        <v>18</v>
      </c>
      <c r="T33" s="527" cm="1">
        <f t="array" aca="1" ref="T33" ca="1">INDIRECT("Worksheet!$O"&amp;R28)</f>
        <v>0</v>
      </c>
      <c r="U33" s="528" cm="1">
        <f t="array" aca="1" ref="U33" ca="1">INDIRECT("Worksheet!$C"&amp;$B$4)</f>
        <v>134</v>
      </c>
      <c r="V33" s="528" cm="1">
        <f t="array" aca="1" ref="V33" ca="1">INDIRECT("Worksheet!$C"&amp;$B$4)</f>
        <v>134</v>
      </c>
      <c r="W33" s="402" t="str" cm="1">
        <f t="array" aca="1" ref="W33" ca="1">INDIRECT("'Tube Cut'!$F"&amp;R28)</f>
        <v xml:space="preserve"> </v>
      </c>
      <c r="X33" s="403" t="str" cm="1">
        <f t="array" aca="1" ref="X33" ca="1">INDIRECT("'Tube Cut'!$G"&amp;R28)</f>
        <v xml:space="preserve"> </v>
      </c>
      <c r="Z33" s="404" t="s">
        <v>824</v>
      </c>
      <c r="AA33" s="397">
        <f ca="1">T32</f>
        <v>0</v>
      </c>
      <c r="AB33" s="372" t="s">
        <v>4</v>
      </c>
      <c r="AC33" s="397">
        <f ca="1">V32</f>
        <v>0</v>
      </c>
      <c r="AD33" s="405"/>
      <c r="AE33" s="403"/>
      <c r="AI33" s="401" t="s">
        <v>18</v>
      </c>
      <c r="AJ33" s="527" cm="1">
        <f t="array" aca="1" ref="AJ33" ca="1">INDIRECT("Worksheet!$O"&amp;AH28)</f>
        <v>0</v>
      </c>
      <c r="AK33" s="528" cm="1">
        <f t="array" aca="1" ref="AK33" ca="1">INDIRECT("Worksheet!$C"&amp;$B$4)</f>
        <v>134</v>
      </c>
      <c r="AL33" s="528" cm="1">
        <f t="array" aca="1" ref="AL33" ca="1">INDIRECT("Worksheet!$C"&amp;$B$4)</f>
        <v>134</v>
      </c>
      <c r="AM33" s="402" t="str" cm="1">
        <f t="array" aca="1" ref="AM33" ca="1">INDIRECT("'Tube Cut'!$F"&amp;AH28)</f>
        <v xml:space="preserve"> </v>
      </c>
      <c r="AN33" s="403" t="str" cm="1">
        <f t="array" aca="1" ref="AN33" ca="1">INDIRECT("'Tube Cut'!$G"&amp;AH28)</f>
        <v xml:space="preserve"> </v>
      </c>
      <c r="AP33" s="404" t="s">
        <v>824</v>
      </c>
      <c r="AQ33" s="397">
        <f ca="1">AJ32</f>
        <v>0</v>
      </c>
      <c r="AR33" s="372" t="s">
        <v>4</v>
      </c>
      <c r="AS33" s="397">
        <f ca="1">AL32</f>
        <v>0</v>
      </c>
      <c r="AT33" s="405"/>
      <c r="AU33" s="403"/>
      <c r="AY33" s="401" t="s">
        <v>18</v>
      </c>
      <c r="AZ33" s="527" cm="1">
        <f t="array" aca="1" ref="AZ33" ca="1">INDIRECT("Worksheet!$O"&amp;AX28)</f>
        <v>0</v>
      </c>
      <c r="BA33" s="528" cm="1">
        <f t="array" aca="1" ref="BA33" ca="1">INDIRECT("Worksheet!$C"&amp;$B$4)</f>
        <v>134</v>
      </c>
      <c r="BB33" s="528" cm="1">
        <f t="array" aca="1" ref="BB33" ca="1">INDIRECT("Worksheet!$C"&amp;$B$4)</f>
        <v>134</v>
      </c>
      <c r="BC33" s="402" t="str" cm="1">
        <f t="array" aca="1" ref="BC33" ca="1">INDIRECT("'Tube Cut'!$F"&amp;AX28)</f>
        <v xml:space="preserve"> </v>
      </c>
      <c r="BD33" s="403" t="str" cm="1">
        <f t="array" aca="1" ref="BD33" ca="1">INDIRECT("'Tube Cut'!$G"&amp;AX28)</f>
        <v xml:space="preserve"> </v>
      </c>
      <c r="BF33" s="404" t="s">
        <v>824</v>
      </c>
      <c r="BG33" s="397">
        <f ca="1">AZ32</f>
        <v>0</v>
      </c>
      <c r="BH33" s="372" t="s">
        <v>4</v>
      </c>
      <c r="BI33" s="397">
        <f ca="1">BB32</f>
        <v>0</v>
      </c>
      <c r="BJ33" s="405"/>
      <c r="BK33" s="403"/>
    </row>
    <row r="34" spans="1:69" ht="20.95" customHeight="1" x14ac:dyDescent="0.3">
      <c r="C34" s="389" t="s">
        <v>23</v>
      </c>
      <c r="D34" s="406" t="str" cm="1">
        <f t="array" aca="1" ref="D34" ca="1">+IF(INDIRECT("Worksheet!$Q"&amp;B28)="V","fabric vertical",IF(INDIRECT("Worksheet!$Q"&amp;B28)="RR","fabric Railroad",0))</f>
        <v>fabric vertical</v>
      </c>
      <c r="E34" s="407" t="s">
        <v>24</v>
      </c>
      <c r="F34" s="408"/>
      <c r="G34" s="518" t="str" cm="1">
        <f t="array" aca="1" ref="G34" ca="1">+IF(INDIRECT("Worksheet!$J"&amp;B28)&gt;0,INDIRECT("Worksheet!$J"&amp;B28),"NO")</f>
        <v>Yes</v>
      </c>
      <c r="H34" s="517"/>
      <c r="J34" s="395"/>
      <c r="K34" s="409"/>
      <c r="L34" s="504" t="s">
        <v>825</v>
      </c>
      <c r="M34" s="504"/>
      <c r="N34" s="504"/>
      <c r="O34" s="505"/>
      <c r="S34" s="389" t="s">
        <v>23</v>
      </c>
      <c r="T34" s="406" cm="1">
        <f t="array" aca="1" ref="T34" ca="1">+IF(INDIRECT("Worksheet!$Q"&amp;R28)="V","fabric vertical",IF(INDIRECT("Worksheet!$Q"&amp;R28)="RR","fabric Railroad",0))</f>
        <v>0</v>
      </c>
      <c r="U34" s="407" t="s">
        <v>24</v>
      </c>
      <c r="V34" s="408"/>
      <c r="W34" s="518" t="str" cm="1">
        <f t="array" aca="1" ref="W34" ca="1">+IF(INDIRECT("Worksheet!$J"&amp;R28)&gt;0,INDIRECT("Worksheet!$J"&amp;R28),"NO")</f>
        <v>NO</v>
      </c>
      <c r="X34" s="517"/>
      <c r="Z34" s="395"/>
      <c r="AA34" s="409"/>
      <c r="AB34" s="504" t="s">
        <v>825</v>
      </c>
      <c r="AC34" s="504"/>
      <c r="AD34" s="504"/>
      <c r="AE34" s="505"/>
      <c r="AI34" s="389" t="s">
        <v>23</v>
      </c>
      <c r="AJ34" s="406" cm="1">
        <f t="array" aca="1" ref="AJ34" ca="1">+IF(INDIRECT("Worksheet!$Q"&amp;AH28)="V","fabric vertical",IF(INDIRECT("Worksheet!$Q"&amp;AH28)="RR","fabric Railroad",0))</f>
        <v>0</v>
      </c>
      <c r="AK34" s="407" t="s">
        <v>24</v>
      </c>
      <c r="AL34" s="408"/>
      <c r="AM34" s="518" t="str" cm="1">
        <f t="array" aca="1" ref="AM34" ca="1">+IF(INDIRECT("Worksheet!$J"&amp;AH28)&gt;0,INDIRECT("Worksheet!$J"&amp;AH28),"NO")</f>
        <v>NO</v>
      </c>
      <c r="AN34" s="517"/>
      <c r="AP34" s="395"/>
      <c r="AQ34" s="409"/>
      <c r="AR34" s="504" t="s">
        <v>825</v>
      </c>
      <c r="AS34" s="504"/>
      <c r="AT34" s="504"/>
      <c r="AU34" s="505"/>
      <c r="AY34" s="389" t="s">
        <v>23</v>
      </c>
      <c r="AZ34" s="406" cm="1">
        <f t="array" aca="1" ref="AZ34" ca="1">+IF(INDIRECT("Worksheet!$Q"&amp;AX28)="V","fabric vertical",IF(INDIRECT("Worksheet!$Q"&amp;AX28)="RR","fabric Railroad",0))</f>
        <v>0</v>
      </c>
      <c r="BA34" s="407" t="s">
        <v>24</v>
      </c>
      <c r="BB34" s="408"/>
      <c r="BC34" s="518" t="str" cm="1">
        <f t="array" aca="1" ref="BC34" ca="1">+IF(INDIRECT("Worksheet!$J"&amp;AX28)&gt;0,INDIRECT("Worksheet!$J"&amp;AX28),"NO")</f>
        <v>NO</v>
      </c>
      <c r="BD34" s="517"/>
      <c r="BF34" s="395"/>
      <c r="BG34" s="409"/>
      <c r="BH34" s="504" t="s">
        <v>825</v>
      </c>
      <c r="BI34" s="504"/>
      <c r="BJ34" s="504"/>
      <c r="BK34" s="505"/>
    </row>
    <row r="35" spans="1:69" s="409" customFormat="1" ht="20.95" customHeight="1" x14ac:dyDescent="0.3">
      <c r="A35" s="372"/>
      <c r="B35" s="372"/>
      <c r="C35" s="523" t="str" cm="1">
        <f t="array" aca="1" ref="C35" ca="1">+INDIRECT("Worksheet!$P"&amp;B28)</f>
        <v>Panel width - 30 3/8" center on tube</v>
      </c>
      <c r="D35" s="524"/>
      <c r="E35" s="407" t="s">
        <v>238</v>
      </c>
      <c r="F35" s="410"/>
      <c r="G35" s="516" t="str" cm="1">
        <f t="array" aca="1" ref="G35" ca="1">INDIRECT("Worksheet!$L"&amp;B28)</f>
        <v>Sealed</v>
      </c>
      <c r="H35" s="517"/>
      <c r="J35" s="411"/>
      <c r="L35" s="504"/>
      <c r="M35" s="504"/>
      <c r="N35" s="504"/>
      <c r="O35" s="505"/>
      <c r="Q35" s="372"/>
      <c r="R35" s="372"/>
      <c r="S35" s="523" t="str" cm="1">
        <f t="array" aca="1" ref="S35" ca="1">+INDIRECT("Worksheet!$P"&amp;R28)</f>
        <v xml:space="preserve"> </v>
      </c>
      <c r="T35" s="524"/>
      <c r="U35" s="407" t="s">
        <v>238</v>
      </c>
      <c r="V35" s="410"/>
      <c r="W35" s="516" t="str" cm="1">
        <f t="array" aca="1" ref="W35" ca="1">INDIRECT("Worksheet!$L"&amp;R28)</f>
        <v>Sealed</v>
      </c>
      <c r="X35" s="517"/>
      <c r="Z35" s="411"/>
      <c r="AB35" s="504"/>
      <c r="AC35" s="504"/>
      <c r="AD35" s="504"/>
      <c r="AE35" s="505"/>
      <c r="AG35" s="372"/>
      <c r="AH35" s="372"/>
      <c r="AI35" s="523" t="str" cm="1">
        <f t="array" aca="1" ref="AI35" ca="1">+INDIRECT("Worksheet!$P"&amp;AH28)</f>
        <v xml:space="preserve"> </v>
      </c>
      <c r="AJ35" s="524"/>
      <c r="AK35" s="407" t="s">
        <v>238</v>
      </c>
      <c r="AL35" s="410"/>
      <c r="AM35" s="516" t="str" cm="1">
        <f t="array" aca="1" ref="AM35" ca="1">INDIRECT("Worksheet!$L"&amp;AH28)</f>
        <v>Sealed</v>
      </c>
      <c r="AN35" s="517"/>
      <c r="AP35" s="411"/>
      <c r="AR35" s="504"/>
      <c r="AS35" s="504"/>
      <c r="AT35" s="504"/>
      <c r="AU35" s="505"/>
      <c r="AW35" s="372"/>
      <c r="AX35" s="372"/>
      <c r="AY35" s="523" t="str" cm="1">
        <f t="array" aca="1" ref="AY35" ca="1">+INDIRECT("Worksheet!$P"&amp;AX28)</f>
        <v xml:space="preserve"> </v>
      </c>
      <c r="AZ35" s="524"/>
      <c r="BA35" s="407" t="s">
        <v>238</v>
      </c>
      <c r="BB35" s="410"/>
      <c r="BC35" s="516" t="str" cm="1">
        <f t="array" aca="1" ref="BC35" ca="1">INDIRECT("Worksheet!$L"&amp;AX28)</f>
        <v>Sealed</v>
      </c>
      <c r="BD35" s="517"/>
      <c r="BF35" s="411"/>
      <c r="BH35" s="504"/>
      <c r="BI35" s="504"/>
      <c r="BJ35" s="504"/>
      <c r="BK35" s="505"/>
      <c r="BL35" s="103"/>
      <c r="BM35" s="103"/>
      <c r="BN35" s="103"/>
      <c r="BO35" s="103"/>
      <c r="BP35" s="103"/>
      <c r="BQ35" s="103"/>
    </row>
    <row r="36" spans="1:69" ht="20.95" customHeight="1" x14ac:dyDescent="0.3">
      <c r="C36" s="412" t="s">
        <v>19</v>
      </c>
      <c r="D36" s="413" t="s">
        <v>25</v>
      </c>
      <c r="E36" s="407" t="s">
        <v>26</v>
      </c>
      <c r="F36" s="408"/>
      <c r="G36" s="516" t="str" cm="1">
        <f t="array" aca="1" ref="G36" ca="1">+IF(INDIRECT("Worksheet!$K"&amp;B28)&gt;0,INDIRECT("Worksheet!$K"&amp;B28),"NO facia")</f>
        <v>NO facia</v>
      </c>
      <c r="H36" s="517"/>
      <c r="J36" s="412" t="s">
        <v>19</v>
      </c>
      <c r="K36" s="413" t="s">
        <v>25</v>
      </c>
      <c r="L36" s="504"/>
      <c r="M36" s="504"/>
      <c r="N36" s="504"/>
      <c r="O36" s="505"/>
      <c r="S36" s="412" t="s">
        <v>19</v>
      </c>
      <c r="T36" s="413" t="s">
        <v>25</v>
      </c>
      <c r="U36" s="407" t="s">
        <v>26</v>
      </c>
      <c r="V36" s="408"/>
      <c r="W36" s="516" t="str" cm="1">
        <f t="array" aca="1" ref="W36" ca="1">+IF(INDIRECT("Worksheet!$K"&amp;R28)&gt;0,INDIRECT("Worksheet!$K"&amp;R28),"NO facia")</f>
        <v>NO facia</v>
      </c>
      <c r="X36" s="517"/>
      <c r="Z36" s="412" t="s">
        <v>19</v>
      </c>
      <c r="AA36" s="413" t="s">
        <v>25</v>
      </c>
      <c r="AB36" s="504"/>
      <c r="AC36" s="504"/>
      <c r="AD36" s="504"/>
      <c r="AE36" s="505"/>
      <c r="AI36" s="412" t="s">
        <v>19</v>
      </c>
      <c r="AJ36" s="413" t="s">
        <v>25</v>
      </c>
      <c r="AK36" s="407" t="s">
        <v>26</v>
      </c>
      <c r="AL36" s="408"/>
      <c r="AM36" s="516" t="str" cm="1">
        <f t="array" aca="1" ref="AM36" ca="1">+IF(INDIRECT("Worksheet!$K"&amp;AH28)&gt;0,INDIRECT("Worksheet!$K"&amp;AH28),"NO facia")</f>
        <v>NO facia</v>
      </c>
      <c r="AN36" s="517"/>
      <c r="AP36" s="412" t="s">
        <v>19</v>
      </c>
      <c r="AQ36" s="413" t="s">
        <v>25</v>
      </c>
      <c r="AR36" s="504"/>
      <c r="AS36" s="504"/>
      <c r="AT36" s="504"/>
      <c r="AU36" s="505"/>
      <c r="AY36" s="412" t="s">
        <v>19</v>
      </c>
      <c r="AZ36" s="413" t="s">
        <v>25</v>
      </c>
      <c r="BA36" s="407" t="s">
        <v>26</v>
      </c>
      <c r="BB36" s="408"/>
      <c r="BC36" s="516" t="str" cm="1">
        <f t="array" aca="1" ref="BC36" ca="1">+IF(INDIRECT("Worksheet!$K"&amp;AX28)&gt;0,INDIRECT("Worksheet!$K"&amp;AX28),"NO facia")</f>
        <v>NO facia</v>
      </c>
      <c r="BD36" s="517"/>
      <c r="BF36" s="412" t="s">
        <v>19</v>
      </c>
      <c r="BG36" s="413" t="s">
        <v>25</v>
      </c>
      <c r="BH36" s="504"/>
      <c r="BI36" s="504"/>
      <c r="BJ36" s="504"/>
      <c r="BK36" s="505"/>
    </row>
    <row r="37" spans="1:69" ht="29.15" customHeight="1" x14ac:dyDescent="0.45">
      <c r="C37" s="414" cm="1">
        <f t="array" aca="1" ref="C37" ca="1">+D32-INDIRECT("Worksheet!$AL"&amp;B28)</f>
        <v>34</v>
      </c>
      <c r="D37" s="415">
        <f ca="1">ROUND(+F32+16,0)</f>
        <v>157</v>
      </c>
      <c r="E37" s="407" t="s">
        <v>27</v>
      </c>
      <c r="F37" s="408"/>
      <c r="G37" s="516" t="str" cm="1">
        <f t="array" aca="1" ref="G37" ca="1">+IF(INDIRECT("Worksheet!$K"&amp;B28)&gt;0,IF(INDIRECT("Worksheet!$S"&amp;B28)="yes","Double Brkts",IF(INDIRECT("Worksheet!$S"&amp;B28)="NO","facia brkts","reg. brkts")),"reg. brkts")</f>
        <v>reg. brkts</v>
      </c>
      <c r="H37" s="517"/>
      <c r="J37" s="416">
        <f ca="1">C37</f>
        <v>34</v>
      </c>
      <c r="K37" s="417">
        <f ca="1">D37</f>
        <v>157</v>
      </c>
      <c r="L37" s="506"/>
      <c r="M37" s="506"/>
      <c r="N37" s="506"/>
      <c r="O37" s="507"/>
      <c r="S37" s="414" cm="1">
        <f t="array" aca="1" ref="S37" ca="1">+T32-INDIRECT("Worksheet!$AL"&amp;R28)</f>
        <v>0</v>
      </c>
      <c r="T37" s="415">
        <f ca="1">ROUND(+V32+16,0)</f>
        <v>16</v>
      </c>
      <c r="U37" s="407" t="s">
        <v>27</v>
      </c>
      <c r="V37" s="408"/>
      <c r="W37" s="516" t="str" cm="1">
        <f t="array" aca="1" ref="W37" ca="1">+IF(INDIRECT("Worksheet!$K"&amp;R28)&gt;0,IF(INDIRECT("Worksheet!$S"&amp;R28)="yes","Double Brkts",IF(INDIRECT("Worksheet!$S"&amp;R28)="NO","facia brkts","reg. brkts")),"reg. brkts")</f>
        <v>reg. brkts</v>
      </c>
      <c r="X37" s="517"/>
      <c r="Z37" s="416">
        <f ca="1">S37</f>
        <v>0</v>
      </c>
      <c r="AA37" s="417">
        <f ca="1">T37</f>
        <v>16</v>
      </c>
      <c r="AB37" s="506"/>
      <c r="AC37" s="506"/>
      <c r="AD37" s="506"/>
      <c r="AE37" s="507"/>
      <c r="AI37" s="414" cm="1">
        <f t="array" aca="1" ref="AI37" ca="1">+AJ32-INDIRECT("Worksheet!$AL"&amp;AH28)</f>
        <v>0</v>
      </c>
      <c r="AJ37" s="415">
        <f ca="1">ROUND(+AL32+16,0)</f>
        <v>16</v>
      </c>
      <c r="AK37" s="407" t="s">
        <v>27</v>
      </c>
      <c r="AL37" s="408"/>
      <c r="AM37" s="516" t="str" cm="1">
        <f t="array" aca="1" ref="AM37" ca="1">+IF(INDIRECT("Worksheet!$K"&amp;AH28)&gt;0,IF(INDIRECT("Worksheet!$S"&amp;AH28)="yes","Double Brkts",IF(INDIRECT("Worksheet!$S"&amp;AH28)="NO","facia brkts","reg. brkts")),"reg. brkts")</f>
        <v>reg. brkts</v>
      </c>
      <c r="AN37" s="517"/>
      <c r="AP37" s="416">
        <f ca="1">AI37</f>
        <v>0</v>
      </c>
      <c r="AQ37" s="417">
        <f ca="1">AJ37</f>
        <v>16</v>
      </c>
      <c r="AR37" s="506"/>
      <c r="AS37" s="506"/>
      <c r="AT37" s="506"/>
      <c r="AU37" s="507"/>
      <c r="AY37" s="414" cm="1">
        <f t="array" aca="1" ref="AY37" ca="1">+AZ32-INDIRECT("Worksheet!$AL"&amp;AX28)</f>
        <v>0</v>
      </c>
      <c r="AZ37" s="415">
        <f ca="1">ROUND(+BB32+16,0)</f>
        <v>16</v>
      </c>
      <c r="BA37" s="407" t="s">
        <v>27</v>
      </c>
      <c r="BB37" s="408"/>
      <c r="BC37" s="516" t="str" cm="1">
        <f t="array" aca="1" ref="BC37" ca="1">+IF(INDIRECT("Worksheet!$K"&amp;AX28)&gt;0,IF(INDIRECT("Worksheet!$S"&amp;AX28)="yes","Double Brkts",IF(INDIRECT("Worksheet!$S"&amp;AX28)="NO","facia brkts","reg. brkts")),"reg. brkts")</f>
        <v>reg. brkts</v>
      </c>
      <c r="BD37" s="517"/>
      <c r="BF37" s="416">
        <f ca="1">AY37</f>
        <v>0</v>
      </c>
      <c r="BG37" s="417">
        <f ca="1">AZ37</f>
        <v>16</v>
      </c>
      <c r="BH37" s="506"/>
      <c r="BI37" s="506"/>
      <c r="BJ37" s="506"/>
      <c r="BK37" s="507"/>
    </row>
    <row r="38" spans="1:69" ht="29.95" customHeight="1" thickBot="1" x14ac:dyDescent="0.55000000000000004">
      <c r="C38" s="418"/>
      <c r="D38" s="419" t="str">
        <f ca="1">+IF(C32&gt;0,"ROLLERSHADE","do not use")</f>
        <v>ROLLERSHADE</v>
      </c>
      <c r="E38" s="420"/>
      <c r="F38" s="420"/>
      <c r="G38" s="420"/>
      <c r="H38" s="421"/>
      <c r="J38" s="422"/>
      <c r="K38" s="423" t="str">
        <f ca="1">+IF(C32&gt;0,"TUBE SIZE","do not use")</f>
        <v>TUBE SIZE</v>
      </c>
      <c r="L38" s="424"/>
      <c r="M38" s="424"/>
      <c r="N38" s="502" t="str">
        <f ca="1">C32</f>
        <v>Tube 2.375</v>
      </c>
      <c r="O38" s="503"/>
      <c r="S38" s="418"/>
      <c r="T38" s="419" t="str">
        <f ca="1">+IF(S32&gt;0,"ROLLERSHADE","do not use")</f>
        <v>do not use</v>
      </c>
      <c r="U38" s="420"/>
      <c r="V38" s="420"/>
      <c r="W38" s="420"/>
      <c r="X38" s="421"/>
      <c r="Z38" s="422"/>
      <c r="AA38" s="423" t="str">
        <f ca="1">+IF(S32&gt;0,"TUBE SIZE","do not use")</f>
        <v>do not use</v>
      </c>
      <c r="AB38" s="424"/>
      <c r="AC38" s="424"/>
      <c r="AD38" s="502">
        <f ca="1">S32</f>
        <v>0</v>
      </c>
      <c r="AE38" s="503"/>
      <c r="AI38" s="418"/>
      <c r="AJ38" s="419" t="str">
        <f ca="1">+IF(AI32&gt;0,"ROLLERSHADE","do not use")</f>
        <v>do not use</v>
      </c>
      <c r="AK38" s="420"/>
      <c r="AL38" s="420"/>
      <c r="AM38" s="428"/>
      <c r="AN38" s="429"/>
      <c r="AP38" s="422"/>
      <c r="AQ38" s="423" t="str">
        <f ca="1">+IF(AI32&gt;0,"TUBE SIZE","do not use")</f>
        <v>do not use</v>
      </c>
      <c r="AR38" s="424"/>
      <c r="AS38" s="424"/>
      <c r="AT38" s="502">
        <f ca="1">AI32</f>
        <v>0</v>
      </c>
      <c r="AU38" s="503"/>
      <c r="AY38" s="418"/>
      <c r="AZ38" s="419" t="str">
        <f ca="1">+IF(AY32&gt;0,"ROLLERSHADE","do not use")</f>
        <v>do not use</v>
      </c>
      <c r="BA38" s="420"/>
      <c r="BB38" s="420"/>
      <c r="BC38" s="420"/>
      <c r="BD38" s="421"/>
      <c r="BF38" s="422"/>
      <c r="BG38" s="423" t="str">
        <f ca="1">+IF(AY32&gt;0,"TUBE SIZE","do not use")</f>
        <v>do not use</v>
      </c>
      <c r="BH38" s="424"/>
      <c r="BI38" s="424"/>
      <c r="BJ38" s="502">
        <f ca="1">AY32</f>
        <v>0</v>
      </c>
      <c r="BK38" s="503"/>
    </row>
    <row r="39" spans="1:69" ht="59.25" customHeight="1" thickBot="1" x14ac:dyDescent="0.35"/>
    <row r="40" spans="1:69" ht="20.95" customHeight="1" thickBot="1" x14ac:dyDescent="0.35">
      <c r="A40" s="372" t="s">
        <v>49</v>
      </c>
      <c r="B40" s="372">
        <v>18</v>
      </c>
      <c r="C40" s="377" t="s">
        <v>20</v>
      </c>
      <c r="D40" s="508">
        <f>+jobnumber</f>
        <v>30894</v>
      </c>
      <c r="E40" s="509"/>
      <c r="F40" s="509"/>
      <c r="G40" s="510"/>
      <c r="H40" s="511" t="str" cm="1">
        <f t="array" aca="1" ref="H40" ca="1">INDIRECT("Worksheet!$B"&amp;B40)</f>
        <v>A4</v>
      </c>
      <c r="J40" s="377" t="s">
        <v>20</v>
      </c>
      <c r="K40" s="378">
        <f>+jobnumber</f>
        <v>30894</v>
      </c>
      <c r="L40" s="379"/>
      <c r="M40" s="379"/>
      <c r="N40" s="379"/>
      <c r="O40" s="511" t="str">
        <f ca="1">H40</f>
        <v>A4</v>
      </c>
      <c r="Q40" s="372" t="s">
        <v>54</v>
      </c>
      <c r="R40" s="372">
        <v>23</v>
      </c>
      <c r="S40" s="377" t="s">
        <v>20</v>
      </c>
      <c r="T40" s="508">
        <f>+jobnumber</f>
        <v>30894</v>
      </c>
      <c r="U40" s="509"/>
      <c r="V40" s="509"/>
      <c r="W40" s="510"/>
      <c r="X40" s="511" t="str" cm="1">
        <f t="array" aca="1" ref="X40" ca="1">INDIRECT("Worksheet!$B"&amp;R40)</f>
        <v>A9</v>
      </c>
      <c r="Z40" s="377" t="s">
        <v>20</v>
      </c>
      <c r="AA40" s="378">
        <f>+jobnumber</f>
        <v>30894</v>
      </c>
      <c r="AB40" s="379"/>
      <c r="AC40" s="379"/>
      <c r="AD40" s="379"/>
      <c r="AE40" s="511" t="str">
        <f ca="1">X40</f>
        <v>A9</v>
      </c>
      <c r="AG40" s="372" t="s">
        <v>60</v>
      </c>
      <c r="AH40" s="372">
        <v>28</v>
      </c>
      <c r="AI40" s="377" t="s">
        <v>20</v>
      </c>
      <c r="AJ40" s="508">
        <f>+jobnumber</f>
        <v>30894</v>
      </c>
      <c r="AK40" s="509"/>
      <c r="AL40" s="509"/>
      <c r="AM40" s="510"/>
      <c r="AN40" s="511" t="str" cm="1">
        <f t="array" aca="1" ref="AN40" ca="1">INDIRECT("Worksheet!$B"&amp;AH40)</f>
        <v>A14</v>
      </c>
      <c r="AP40" s="377" t="s">
        <v>20</v>
      </c>
      <c r="AQ40" s="378">
        <f>+jobnumber</f>
        <v>30894</v>
      </c>
      <c r="AR40" s="379"/>
      <c r="AS40" s="379"/>
      <c r="AT40" s="379"/>
      <c r="AU40" s="511" t="str">
        <f ca="1">AN40</f>
        <v>A14</v>
      </c>
      <c r="AW40" s="372" t="s">
        <v>65</v>
      </c>
      <c r="AX40" s="372">
        <v>33</v>
      </c>
      <c r="AY40" s="377" t="s">
        <v>20</v>
      </c>
      <c r="AZ40" s="508">
        <f>+jobnumber</f>
        <v>30894</v>
      </c>
      <c r="BA40" s="509"/>
      <c r="BB40" s="509"/>
      <c r="BC40" s="510"/>
      <c r="BD40" s="511" t="str" cm="1">
        <f t="array" aca="1" ref="BD40" ca="1">INDIRECT("Worksheet!$B"&amp;AX40)</f>
        <v>A19</v>
      </c>
      <c r="BF40" s="377" t="s">
        <v>20</v>
      </c>
      <c r="BG40" s="378">
        <f>+jobnumber</f>
        <v>30894</v>
      </c>
      <c r="BH40" s="379"/>
      <c r="BI40" s="379"/>
      <c r="BJ40" s="379"/>
      <c r="BK40" s="511" t="str">
        <f ca="1">BD40</f>
        <v>A19</v>
      </c>
    </row>
    <row r="41" spans="1:69" ht="20.95" customHeight="1" thickBot="1" x14ac:dyDescent="0.35">
      <c r="C41" s="380" t="s">
        <v>21</v>
      </c>
      <c r="D41" s="513" t="str">
        <f>+_xlfn.SINGLE(Bill_Name)</f>
        <v>Westland Construction</v>
      </c>
      <c r="E41" s="514"/>
      <c r="F41" s="514"/>
      <c r="G41" s="515"/>
      <c r="H41" s="512"/>
      <c r="I41" s="381"/>
      <c r="J41" s="380" t="s">
        <v>21</v>
      </c>
      <c r="K41" s="382" t="str">
        <f>+_xlfn.SINGLE(Bill_Name)</f>
        <v>Westland Construction</v>
      </c>
      <c r="L41" s="383"/>
      <c r="M41" s="383"/>
      <c r="N41" s="383"/>
      <c r="O41" s="512"/>
      <c r="S41" s="380" t="s">
        <v>21</v>
      </c>
      <c r="T41" s="513" t="str">
        <f>+_xlfn.SINGLE(Bill_Name)</f>
        <v>Westland Construction</v>
      </c>
      <c r="U41" s="514"/>
      <c r="V41" s="514"/>
      <c r="W41" s="515"/>
      <c r="X41" s="512"/>
      <c r="Y41" s="381"/>
      <c r="Z41" s="380" t="s">
        <v>21</v>
      </c>
      <c r="AA41" s="382" t="str">
        <f>+_xlfn.SINGLE(Bill_Name)</f>
        <v>Westland Construction</v>
      </c>
      <c r="AB41" s="383"/>
      <c r="AC41" s="383"/>
      <c r="AD41" s="383"/>
      <c r="AE41" s="512"/>
      <c r="AI41" s="380" t="s">
        <v>21</v>
      </c>
      <c r="AJ41" s="513" t="str">
        <f>+_xlfn.SINGLE(Bill_Name)</f>
        <v>Westland Construction</v>
      </c>
      <c r="AK41" s="514"/>
      <c r="AL41" s="514"/>
      <c r="AM41" s="515"/>
      <c r="AN41" s="512"/>
      <c r="AO41" s="381"/>
      <c r="AP41" s="380" t="s">
        <v>21</v>
      </c>
      <c r="AQ41" s="382" t="str">
        <f>+_xlfn.SINGLE(Bill_Name)</f>
        <v>Westland Construction</v>
      </c>
      <c r="AR41" s="383"/>
      <c r="AS41" s="383"/>
      <c r="AT41" s="383"/>
      <c r="AU41" s="512"/>
      <c r="AY41" s="380" t="s">
        <v>21</v>
      </c>
      <c r="AZ41" s="513" t="str">
        <f>+_xlfn.SINGLE(Bill_Name)</f>
        <v>Westland Construction</v>
      </c>
      <c r="BA41" s="514"/>
      <c r="BB41" s="514"/>
      <c r="BC41" s="515"/>
      <c r="BD41" s="512"/>
      <c r="BE41" s="381"/>
      <c r="BF41" s="380" t="s">
        <v>21</v>
      </c>
      <c r="BG41" s="382" t="str">
        <f>+_xlfn.SINGLE(Bill_Name)</f>
        <v>Westland Construction</v>
      </c>
      <c r="BH41" s="383"/>
      <c r="BI41" s="383"/>
      <c r="BJ41" s="383"/>
      <c r="BK41" s="512"/>
    </row>
    <row r="42" spans="1:69" s="381" customFormat="1" ht="20.95" customHeight="1" x14ac:dyDescent="0.3">
      <c r="A42" s="372"/>
      <c r="B42" s="372"/>
      <c r="C42" s="384" t="s">
        <v>74</v>
      </c>
      <c r="D42" s="519" t="str">
        <f>+jobname</f>
        <v>Pago Pago Temple Endowment Change Order</v>
      </c>
      <c r="E42" s="520"/>
      <c r="F42" s="520"/>
      <c r="G42" s="520"/>
      <c r="H42" s="521"/>
      <c r="J42" s="385" t="s">
        <v>74</v>
      </c>
      <c r="K42" s="386" t="str">
        <f>+jobname</f>
        <v>Pago Pago Temple Endowment Change Order</v>
      </c>
      <c r="L42" s="387"/>
      <c r="M42" s="387"/>
      <c r="N42" s="387"/>
      <c r="O42" s="388"/>
      <c r="Q42" s="372"/>
      <c r="R42" s="372"/>
      <c r="S42" s="384" t="s">
        <v>74</v>
      </c>
      <c r="T42" s="519" t="str">
        <f>+jobname</f>
        <v>Pago Pago Temple Endowment Change Order</v>
      </c>
      <c r="U42" s="520"/>
      <c r="V42" s="520"/>
      <c r="W42" s="520"/>
      <c r="X42" s="521"/>
      <c r="Z42" s="385" t="s">
        <v>74</v>
      </c>
      <c r="AA42" s="386" t="str">
        <f>+jobname</f>
        <v>Pago Pago Temple Endowment Change Order</v>
      </c>
      <c r="AB42" s="387"/>
      <c r="AC42" s="387"/>
      <c r="AD42" s="387"/>
      <c r="AE42" s="388"/>
      <c r="AG42" s="372"/>
      <c r="AH42" s="372"/>
      <c r="AI42" s="384" t="s">
        <v>74</v>
      </c>
      <c r="AJ42" s="519" t="str">
        <f>+jobname</f>
        <v>Pago Pago Temple Endowment Change Order</v>
      </c>
      <c r="AK42" s="520"/>
      <c r="AL42" s="520"/>
      <c r="AM42" s="520"/>
      <c r="AN42" s="521"/>
      <c r="AP42" s="385" t="s">
        <v>74</v>
      </c>
      <c r="AQ42" s="386" t="str">
        <f>+jobname</f>
        <v>Pago Pago Temple Endowment Change Order</v>
      </c>
      <c r="AR42" s="387"/>
      <c r="AS42" s="387"/>
      <c r="AT42" s="387"/>
      <c r="AU42" s="388"/>
      <c r="AW42" s="372"/>
      <c r="AX42" s="372"/>
      <c r="AY42" s="384" t="s">
        <v>74</v>
      </c>
      <c r="AZ42" s="519" t="str">
        <f>+jobname</f>
        <v>Pago Pago Temple Endowment Change Order</v>
      </c>
      <c r="BA42" s="520"/>
      <c r="BB42" s="520"/>
      <c r="BC42" s="520"/>
      <c r="BD42" s="521"/>
      <c r="BF42" s="385" t="s">
        <v>74</v>
      </c>
      <c r="BG42" s="386" t="str">
        <f>+jobname</f>
        <v>Pago Pago Temple Endowment Change Order</v>
      </c>
      <c r="BH42" s="387"/>
      <c r="BI42" s="387"/>
      <c r="BJ42" s="387"/>
      <c r="BK42" s="388"/>
      <c r="BL42" s="103"/>
      <c r="BM42" s="103"/>
      <c r="BN42" s="103"/>
      <c r="BO42" s="103"/>
      <c r="BP42" s="103"/>
      <c r="BQ42" s="103"/>
    </row>
    <row r="43" spans="1:69" ht="20.95" customHeight="1" x14ac:dyDescent="0.3">
      <c r="C43" s="389" t="s">
        <v>22</v>
      </c>
      <c r="D43" s="390" cm="1">
        <f t="array" aca="1" ref="D43" ca="1">INDIRECT("Worksheet!$C"&amp;B40)</f>
        <v>139</v>
      </c>
      <c r="E43" s="381"/>
      <c r="F43" s="381"/>
      <c r="G43" s="381"/>
      <c r="H43" s="391" t="str">
        <f>+IF(Worksheet!$Q$9=1,"Install",IF(Worksheet!$Q$9=2,"Deliver",IF(Worksheet!$Q$9=3,"Will Call",0)))</f>
        <v>Install</v>
      </c>
      <c r="I43" s="381"/>
      <c r="J43" s="389" t="s">
        <v>22</v>
      </c>
      <c r="K43" s="392">
        <f ca="1">D43</f>
        <v>139</v>
      </c>
      <c r="L43" s="381"/>
      <c r="M43" s="381"/>
      <c r="N43" s="393" t="str">
        <f ca="1">G45</f>
        <v>Motor</v>
      </c>
      <c r="O43" s="394" t="str">
        <f ca="1">H45</f>
        <v>Idler</v>
      </c>
      <c r="S43" s="389" t="s">
        <v>22</v>
      </c>
      <c r="T43" s="390" cm="1">
        <f t="array" aca="1" ref="T43" ca="1">INDIRECT("Worksheet!$C"&amp;R40)</f>
        <v>0</v>
      </c>
      <c r="U43" s="381"/>
      <c r="V43" s="381"/>
      <c r="W43" s="381"/>
      <c r="X43" s="391" t="str">
        <f>+IF(Worksheet!$Q$9=1,"Install",IF(Worksheet!$Q$9=2,"Deliver",IF(Worksheet!$Q$9=3,"Will Call",0)))</f>
        <v>Install</v>
      </c>
      <c r="Y43" s="381"/>
      <c r="Z43" s="389" t="s">
        <v>22</v>
      </c>
      <c r="AA43" s="392">
        <f ca="1">T43</f>
        <v>0</v>
      </c>
      <c r="AB43" s="381"/>
      <c r="AC43" s="381"/>
      <c r="AD43" s="393" t="str">
        <f ca="1">W45</f>
        <v xml:space="preserve"> </v>
      </c>
      <c r="AE43" s="394" t="str">
        <f ca="1">X45</f>
        <v xml:space="preserve"> </v>
      </c>
      <c r="AI43" s="389" t="s">
        <v>22</v>
      </c>
      <c r="AJ43" s="390" cm="1">
        <f t="array" aca="1" ref="AJ43" ca="1">INDIRECT("Worksheet!$C"&amp;AH40)</f>
        <v>0</v>
      </c>
      <c r="AK43" s="381"/>
      <c r="AL43" s="381"/>
      <c r="AM43" s="381"/>
      <c r="AN43" s="391" t="str">
        <f>+IF(Worksheet!$Q$9=1,"Install",IF(Worksheet!$Q$9=2,"Deliver",IF(Worksheet!$Q$9=3,"Will Call",0)))</f>
        <v>Install</v>
      </c>
      <c r="AO43" s="381"/>
      <c r="AP43" s="389" t="s">
        <v>22</v>
      </c>
      <c r="AQ43" s="392">
        <f ca="1">AJ43</f>
        <v>0</v>
      </c>
      <c r="AR43" s="381"/>
      <c r="AS43" s="381"/>
      <c r="AT43" s="393" t="str">
        <f ca="1">AM45</f>
        <v xml:space="preserve"> </v>
      </c>
      <c r="AU43" s="394" t="str">
        <f ca="1">AN45</f>
        <v xml:space="preserve"> </v>
      </c>
      <c r="AY43" s="389" t="s">
        <v>22</v>
      </c>
      <c r="AZ43" s="390" cm="1">
        <f t="array" aca="1" ref="AZ43" ca="1">INDIRECT("Worksheet!$C"&amp;AX40)</f>
        <v>0</v>
      </c>
      <c r="BA43" s="381"/>
      <c r="BB43" s="381"/>
      <c r="BC43" s="381"/>
      <c r="BD43" s="391" t="str">
        <f>+IF(Worksheet!$Q$9=1,"Install",IF(Worksheet!$Q$9=2,"Deliver",IF(Worksheet!$Q$9=3,"Will Call",0)))</f>
        <v>Install</v>
      </c>
      <c r="BE43" s="381"/>
      <c r="BF43" s="389" t="s">
        <v>22</v>
      </c>
      <c r="BG43" s="392">
        <f ca="1">AZ43</f>
        <v>0</v>
      </c>
      <c r="BH43" s="381"/>
      <c r="BI43" s="381"/>
      <c r="BJ43" s="393" t="str">
        <f ca="1">BC45</f>
        <v xml:space="preserve"> </v>
      </c>
      <c r="BK43" s="394" t="str">
        <f ca="1">BD45</f>
        <v xml:space="preserve"> </v>
      </c>
    </row>
    <row r="44" spans="1:69" s="381" customFormat="1" ht="20.95" customHeight="1" x14ac:dyDescent="0.3">
      <c r="A44" s="372"/>
      <c r="B44" s="372"/>
      <c r="C44" s="395" t="str" cm="1">
        <f t="array" aca="1" ref="C44" ca="1">+IF(INDIRECT("Worksheet!$D"&amp;B40)&gt;0,INDIRECT("Worksheet!$E"&amp;B40),0)</f>
        <v>Tube 2.375</v>
      </c>
      <c r="D44" s="396" cm="1">
        <f t="array" aca="1" ref="D44" ca="1">INDIRECT("Worksheet!$F"&amp;B40)</f>
        <v>36</v>
      </c>
      <c r="E44" s="372" t="s">
        <v>4</v>
      </c>
      <c r="F44" s="397" cm="1">
        <f t="array" aca="1" ref="F44" ca="1">INDIRECT("Worksheet!$H"&amp;B40)</f>
        <v>141</v>
      </c>
      <c r="G44" s="398"/>
      <c r="H44" s="399" t="str" cm="1">
        <f t="array" aca="1" ref="H44" ca="1">INDIRECT("Worksheet!$I"&amp;B40)</f>
        <v>IB</v>
      </c>
      <c r="J44" s="395"/>
      <c r="N44" s="398"/>
      <c r="O44" s="399"/>
      <c r="P44" s="400"/>
      <c r="Q44" s="372"/>
      <c r="R44" s="372"/>
      <c r="S44" s="395" cm="1">
        <f t="array" aca="1" ref="S44" ca="1">+IF(INDIRECT("Worksheet!$D"&amp;R40)&gt;0,INDIRECT("Worksheet!$E"&amp;R40),0)</f>
        <v>0</v>
      </c>
      <c r="T44" s="396" cm="1">
        <f t="array" aca="1" ref="T44" ca="1">INDIRECT("Worksheet!$F"&amp;R40)</f>
        <v>0</v>
      </c>
      <c r="U44" s="372" t="s">
        <v>4</v>
      </c>
      <c r="V44" s="397" cm="1">
        <f t="array" aca="1" ref="V44" ca="1">INDIRECT("Worksheet!$H"&amp;R40)</f>
        <v>0</v>
      </c>
      <c r="W44" s="398"/>
      <c r="X44" s="399" cm="1">
        <f t="array" aca="1" ref="X44" ca="1">INDIRECT("Worksheet!$I"&amp;R40)</f>
        <v>0</v>
      </c>
      <c r="Z44" s="395"/>
      <c r="AD44" s="398"/>
      <c r="AE44" s="399"/>
      <c r="AG44" s="372"/>
      <c r="AH44" s="372"/>
      <c r="AI44" s="395" cm="1">
        <f t="array" aca="1" ref="AI44" ca="1">+IF(INDIRECT("Worksheet!$D"&amp;AH40)&gt;0,INDIRECT("Worksheet!$E"&amp;AH40),0)</f>
        <v>0</v>
      </c>
      <c r="AJ44" s="396" cm="1">
        <f t="array" aca="1" ref="AJ44" ca="1">INDIRECT("Worksheet!$F"&amp;AH40)</f>
        <v>0</v>
      </c>
      <c r="AK44" s="372" t="s">
        <v>4</v>
      </c>
      <c r="AL44" s="397" cm="1">
        <f t="array" aca="1" ref="AL44" ca="1">INDIRECT("Worksheet!$H"&amp;AH40)</f>
        <v>0</v>
      </c>
      <c r="AM44" s="398"/>
      <c r="AN44" s="399" cm="1">
        <f t="array" aca="1" ref="AN44" ca="1">INDIRECT("Worksheet!$I"&amp;AH40)</f>
        <v>0</v>
      </c>
      <c r="AP44" s="395"/>
      <c r="AT44" s="398"/>
      <c r="AU44" s="399"/>
      <c r="AW44" s="372"/>
      <c r="AX44" s="372"/>
      <c r="AY44" s="395" cm="1">
        <f t="array" aca="1" ref="AY44" ca="1">+IF(INDIRECT("Worksheet!$D"&amp;AX40)&gt;0,INDIRECT("Worksheet!$E"&amp;AX40),0)</f>
        <v>0</v>
      </c>
      <c r="AZ44" s="396" cm="1">
        <f t="array" aca="1" ref="AZ44" ca="1">INDIRECT("Worksheet!$F"&amp;AX40)</f>
        <v>0</v>
      </c>
      <c r="BA44" s="372" t="s">
        <v>4</v>
      </c>
      <c r="BB44" s="397" cm="1">
        <f t="array" aca="1" ref="BB44" ca="1">INDIRECT("Worksheet!$H"&amp;AX40)</f>
        <v>0</v>
      </c>
      <c r="BC44" s="398"/>
      <c r="BD44" s="399" cm="1">
        <f t="array" aca="1" ref="BD44" ca="1">INDIRECT("Worksheet!$I"&amp;AX40)</f>
        <v>0</v>
      </c>
      <c r="BF44" s="395"/>
      <c r="BJ44" s="398"/>
      <c r="BK44" s="399"/>
      <c r="BL44" s="103"/>
      <c r="BM44" s="103"/>
      <c r="BN44" s="103"/>
      <c r="BO44" s="103"/>
      <c r="BP44" s="103"/>
      <c r="BQ44" s="103"/>
    </row>
    <row r="45" spans="1:69" ht="20.95" customHeight="1" x14ac:dyDescent="0.3">
      <c r="C45" s="401" t="s">
        <v>18</v>
      </c>
      <c r="D45" s="522" t="str" cm="1">
        <f t="array" aca="1" ref="D45" ca="1">INDIRECT("Worksheet!$O"&amp;B40)</f>
        <v>VX Intimate Sing BO, Ivory</v>
      </c>
      <c r="E45" s="506"/>
      <c r="F45" s="506"/>
      <c r="G45" s="402" t="str" cm="1">
        <f t="array" aca="1" ref="G45" ca="1">INDIRECT("'Tube Cut'!$F"&amp;B40)</f>
        <v>Motor</v>
      </c>
      <c r="H45" s="403" t="str" cm="1">
        <f t="array" aca="1" ref="H45" ca="1">INDIRECT("'Tube Cut'!$G"&amp;B40)</f>
        <v>Idler</v>
      </c>
      <c r="J45" s="404" t="s">
        <v>824</v>
      </c>
      <c r="K45" s="397">
        <f ca="1">D44</f>
        <v>36</v>
      </c>
      <c r="L45" s="372" t="s">
        <v>4</v>
      </c>
      <c r="M45" s="397">
        <f ca="1">F44</f>
        <v>141</v>
      </c>
      <c r="N45" s="405"/>
      <c r="O45" s="403"/>
      <c r="S45" s="401" t="s">
        <v>18</v>
      </c>
      <c r="T45" s="522" cm="1">
        <f t="array" aca="1" ref="T45" ca="1">INDIRECT("Worksheet!$O"&amp;R40)</f>
        <v>0</v>
      </c>
      <c r="U45" s="506"/>
      <c r="V45" s="506"/>
      <c r="W45" s="402" t="str" cm="1">
        <f t="array" aca="1" ref="W45" ca="1">INDIRECT("'Tube Cut'!$F"&amp;R40)</f>
        <v xml:space="preserve"> </v>
      </c>
      <c r="X45" s="403" t="str" cm="1">
        <f t="array" aca="1" ref="X45" ca="1">INDIRECT("'Tube Cut'!$G"&amp;R40)</f>
        <v xml:space="preserve"> </v>
      </c>
      <c r="Z45" s="404" t="s">
        <v>824</v>
      </c>
      <c r="AA45" s="397">
        <f ca="1">T44</f>
        <v>0</v>
      </c>
      <c r="AB45" s="372" t="s">
        <v>4</v>
      </c>
      <c r="AC45" s="397">
        <f ca="1">V44</f>
        <v>0</v>
      </c>
      <c r="AD45" s="405"/>
      <c r="AE45" s="403"/>
      <c r="AI45" s="401" t="s">
        <v>18</v>
      </c>
      <c r="AJ45" s="522" cm="1">
        <f t="array" aca="1" ref="AJ45" ca="1">INDIRECT("Worksheet!$O"&amp;AH40)</f>
        <v>0</v>
      </c>
      <c r="AK45" s="506"/>
      <c r="AL45" s="506"/>
      <c r="AM45" s="402" t="str" cm="1">
        <f t="array" aca="1" ref="AM45" ca="1">INDIRECT("'Tube Cut'!$F"&amp;AH40)</f>
        <v xml:space="preserve"> </v>
      </c>
      <c r="AN45" s="403" t="str" cm="1">
        <f t="array" aca="1" ref="AN45" ca="1">INDIRECT("'Tube Cut'!$G"&amp;AH40)</f>
        <v xml:space="preserve"> </v>
      </c>
      <c r="AP45" s="404" t="s">
        <v>824</v>
      </c>
      <c r="AQ45" s="397">
        <f ca="1">AJ44</f>
        <v>0</v>
      </c>
      <c r="AR45" s="372" t="s">
        <v>4</v>
      </c>
      <c r="AS45" s="397">
        <f ca="1">AL44</f>
        <v>0</v>
      </c>
      <c r="AT45" s="405"/>
      <c r="AU45" s="403"/>
      <c r="AY45" s="401" t="s">
        <v>18</v>
      </c>
      <c r="AZ45" s="522" cm="1">
        <f t="array" aca="1" ref="AZ45" ca="1">INDIRECT("Worksheet!$O"&amp;AX40)</f>
        <v>0</v>
      </c>
      <c r="BA45" s="506"/>
      <c r="BB45" s="506"/>
      <c r="BC45" s="402" t="str" cm="1">
        <f t="array" aca="1" ref="BC45" ca="1">INDIRECT("'Tube Cut'!$F"&amp;AX40)</f>
        <v xml:space="preserve"> </v>
      </c>
      <c r="BD45" s="403" t="str" cm="1">
        <f t="array" aca="1" ref="BD45" ca="1">INDIRECT("'Tube Cut'!$G"&amp;AX40)</f>
        <v xml:space="preserve"> </v>
      </c>
      <c r="BF45" s="404" t="s">
        <v>824</v>
      </c>
      <c r="BG45" s="397">
        <f ca="1">AZ44</f>
        <v>0</v>
      </c>
      <c r="BH45" s="372" t="s">
        <v>4</v>
      </c>
      <c r="BI45" s="397">
        <f ca="1">BB44</f>
        <v>0</v>
      </c>
      <c r="BJ45" s="405"/>
      <c r="BK45" s="403"/>
    </row>
    <row r="46" spans="1:69" ht="20.95" customHeight="1" x14ac:dyDescent="0.3">
      <c r="C46" s="389" t="s">
        <v>23</v>
      </c>
      <c r="D46" s="406" t="str" cm="1">
        <f t="array" aca="1" ref="D46" ca="1">+IF(INDIRECT("Worksheet!$Q"&amp;B40)="V","fabric vertical",IF(INDIRECT("Worksheet!$Q"&amp;B40)="RR","fabric Railroad",0))</f>
        <v>fabric vertical</v>
      </c>
      <c r="E46" s="407" t="s">
        <v>24</v>
      </c>
      <c r="F46" s="408"/>
      <c r="G46" s="518" t="str" cm="1">
        <f t="array" aca="1" ref="G46" ca="1">+IF(INDIRECT("Worksheet!$J"&amp;B40)&gt;0,INDIRECT("Worksheet!$J"&amp;B40),"NO")</f>
        <v>Yes</v>
      </c>
      <c r="H46" s="517"/>
      <c r="J46" s="395"/>
      <c r="K46" s="409"/>
      <c r="L46" s="504" t="s">
        <v>825</v>
      </c>
      <c r="M46" s="504"/>
      <c r="N46" s="504"/>
      <c r="O46" s="505"/>
      <c r="S46" s="389" t="s">
        <v>23</v>
      </c>
      <c r="T46" s="406" cm="1">
        <f t="array" aca="1" ref="T46" ca="1">+IF(INDIRECT("Worksheet!$Q"&amp;R40)="V","fabric vertical",IF(INDIRECT("Worksheet!$Q"&amp;R40)="RR","fabric Railroad",0))</f>
        <v>0</v>
      </c>
      <c r="U46" s="407" t="s">
        <v>24</v>
      </c>
      <c r="V46" s="408"/>
      <c r="W46" s="518" t="str" cm="1">
        <f t="array" aca="1" ref="W46" ca="1">+IF(INDIRECT("Worksheet!$J"&amp;R40)&gt;0,INDIRECT("Worksheet!$J"&amp;R40),"NO")</f>
        <v>NO</v>
      </c>
      <c r="X46" s="517"/>
      <c r="Z46" s="395"/>
      <c r="AA46" s="409"/>
      <c r="AB46" s="504" t="s">
        <v>825</v>
      </c>
      <c r="AC46" s="504"/>
      <c r="AD46" s="504"/>
      <c r="AE46" s="505"/>
      <c r="AI46" s="389" t="s">
        <v>23</v>
      </c>
      <c r="AJ46" s="406" cm="1">
        <f t="array" aca="1" ref="AJ46" ca="1">+IF(INDIRECT("Worksheet!$Q"&amp;AH40)="V","fabric vertical",IF(INDIRECT("Worksheet!$Q"&amp;AH40)="RR","fabric Railroad",0))</f>
        <v>0</v>
      </c>
      <c r="AK46" s="407" t="s">
        <v>24</v>
      </c>
      <c r="AL46" s="408"/>
      <c r="AM46" s="518" t="str" cm="1">
        <f t="array" aca="1" ref="AM46" ca="1">+IF(INDIRECT("Worksheet!$J"&amp;AH40)&gt;0,INDIRECT("Worksheet!$J"&amp;AH40),"NO")</f>
        <v>NO</v>
      </c>
      <c r="AN46" s="517"/>
      <c r="AP46" s="395"/>
      <c r="AQ46" s="409"/>
      <c r="AR46" s="504" t="s">
        <v>825</v>
      </c>
      <c r="AS46" s="504"/>
      <c r="AT46" s="504"/>
      <c r="AU46" s="505"/>
      <c r="AY46" s="389" t="s">
        <v>23</v>
      </c>
      <c r="AZ46" s="406" cm="1">
        <f t="array" aca="1" ref="AZ46" ca="1">+IF(INDIRECT("Worksheet!$Q"&amp;AX40)="V","fabric vertical",IF(INDIRECT("Worksheet!$Q"&amp;AX40)="RR","fabric Railroad",0))</f>
        <v>0</v>
      </c>
      <c r="BA46" s="407" t="s">
        <v>24</v>
      </c>
      <c r="BB46" s="408"/>
      <c r="BC46" s="518" t="str" cm="1">
        <f t="array" aca="1" ref="BC46" ca="1">+IF(INDIRECT("Worksheet!$J"&amp;AX40)&gt;0,INDIRECT("Worksheet!$J"&amp;AX40),"NO")</f>
        <v>NO</v>
      </c>
      <c r="BD46" s="517"/>
      <c r="BF46" s="395"/>
      <c r="BG46" s="409"/>
      <c r="BH46" s="504" t="s">
        <v>825</v>
      </c>
      <c r="BI46" s="504"/>
      <c r="BJ46" s="504"/>
      <c r="BK46" s="505"/>
    </row>
    <row r="47" spans="1:69" s="409" customFormat="1" ht="20.95" customHeight="1" x14ac:dyDescent="0.3">
      <c r="A47" s="372"/>
      <c r="B47" s="372"/>
      <c r="C47" s="525" t="str" cm="1">
        <f t="array" aca="1" ref="C47" ca="1">+INDIRECT("Worksheet!$P"&amp;B40)</f>
        <v>Panel width - 30 3/8" center on tube</v>
      </c>
      <c r="D47" s="526"/>
      <c r="E47" s="407" t="s">
        <v>238</v>
      </c>
      <c r="F47" s="410"/>
      <c r="G47" s="516" t="str" cm="1">
        <f t="array" aca="1" ref="G47" ca="1">INDIRECT("Worksheet!$L"&amp;B40)</f>
        <v>Sealed</v>
      </c>
      <c r="H47" s="517"/>
      <c r="J47" s="411"/>
      <c r="L47" s="504"/>
      <c r="M47" s="504"/>
      <c r="N47" s="504"/>
      <c r="O47" s="505"/>
      <c r="Q47" s="372"/>
      <c r="R47" s="372"/>
      <c r="S47" s="525" t="str" cm="1">
        <f t="array" aca="1" ref="S47" ca="1">+INDIRECT("Worksheet!$P"&amp;R40)</f>
        <v xml:space="preserve"> </v>
      </c>
      <c r="T47" s="526"/>
      <c r="U47" s="407" t="s">
        <v>238</v>
      </c>
      <c r="V47" s="410"/>
      <c r="W47" s="516" t="str" cm="1">
        <f t="array" aca="1" ref="W47" ca="1">INDIRECT("Worksheet!$L"&amp;R40)</f>
        <v>Sealed</v>
      </c>
      <c r="X47" s="517"/>
      <c r="Z47" s="411"/>
      <c r="AB47" s="504"/>
      <c r="AC47" s="504"/>
      <c r="AD47" s="504"/>
      <c r="AE47" s="505"/>
      <c r="AG47" s="372"/>
      <c r="AH47" s="372"/>
      <c r="AI47" s="525" t="str" cm="1">
        <f t="array" aca="1" ref="AI47" ca="1">+INDIRECT("Worksheet!$P"&amp;AH40)</f>
        <v xml:space="preserve"> </v>
      </c>
      <c r="AJ47" s="526"/>
      <c r="AK47" s="407" t="s">
        <v>238</v>
      </c>
      <c r="AL47" s="410"/>
      <c r="AM47" s="516" t="str" cm="1">
        <f t="array" aca="1" ref="AM47" ca="1">INDIRECT("Worksheet!$L"&amp;AH40)</f>
        <v>Sealed</v>
      </c>
      <c r="AN47" s="517"/>
      <c r="AP47" s="411"/>
      <c r="AR47" s="504"/>
      <c r="AS47" s="504"/>
      <c r="AT47" s="504"/>
      <c r="AU47" s="505"/>
      <c r="AW47" s="372"/>
      <c r="AX47" s="372"/>
      <c r="AY47" s="525" t="str" cm="1">
        <f t="array" aca="1" ref="AY47" ca="1">+INDIRECT("Worksheet!$P"&amp;AX40)</f>
        <v xml:space="preserve"> </v>
      </c>
      <c r="AZ47" s="526"/>
      <c r="BA47" s="407" t="s">
        <v>238</v>
      </c>
      <c r="BB47" s="410"/>
      <c r="BC47" s="516" t="str" cm="1">
        <f t="array" aca="1" ref="BC47" ca="1">INDIRECT("Worksheet!$L"&amp;AX40)</f>
        <v>Sealed</v>
      </c>
      <c r="BD47" s="517"/>
      <c r="BF47" s="411"/>
      <c r="BH47" s="504"/>
      <c r="BI47" s="504"/>
      <c r="BJ47" s="504"/>
      <c r="BK47" s="505"/>
      <c r="BL47" s="103"/>
      <c r="BM47" s="103"/>
      <c r="BN47" s="103"/>
      <c r="BO47" s="103"/>
      <c r="BP47" s="103"/>
      <c r="BQ47" s="103"/>
    </row>
    <row r="48" spans="1:69" ht="20.95" customHeight="1" x14ac:dyDescent="0.3">
      <c r="C48" s="412" t="s">
        <v>19</v>
      </c>
      <c r="D48" s="413" t="s">
        <v>25</v>
      </c>
      <c r="E48" s="407" t="s">
        <v>26</v>
      </c>
      <c r="F48" s="408"/>
      <c r="G48" s="516" t="str" cm="1">
        <f t="array" aca="1" ref="G48" ca="1">+IF(INDIRECT("Worksheet!$K"&amp;B40)&gt;0,INDIRECT("Worksheet!$K"&amp;B40),"NO facia")</f>
        <v>NO facia</v>
      </c>
      <c r="H48" s="517"/>
      <c r="J48" s="412" t="s">
        <v>19</v>
      </c>
      <c r="K48" s="413" t="s">
        <v>25</v>
      </c>
      <c r="L48" s="504"/>
      <c r="M48" s="504"/>
      <c r="N48" s="504"/>
      <c r="O48" s="505"/>
      <c r="S48" s="412" t="s">
        <v>19</v>
      </c>
      <c r="T48" s="413" t="s">
        <v>25</v>
      </c>
      <c r="U48" s="407" t="s">
        <v>26</v>
      </c>
      <c r="V48" s="408"/>
      <c r="W48" s="516" t="str" cm="1">
        <f t="array" aca="1" ref="W48" ca="1">+IF(INDIRECT("Worksheet!$K"&amp;R40)&gt;0,INDIRECT("Worksheet!$K"&amp;R40),"NO facia")</f>
        <v>NO facia</v>
      </c>
      <c r="X48" s="517"/>
      <c r="Z48" s="412" t="s">
        <v>19</v>
      </c>
      <c r="AA48" s="413" t="s">
        <v>25</v>
      </c>
      <c r="AB48" s="504"/>
      <c r="AC48" s="504"/>
      <c r="AD48" s="504"/>
      <c r="AE48" s="505"/>
      <c r="AI48" s="412" t="s">
        <v>19</v>
      </c>
      <c r="AJ48" s="413" t="s">
        <v>25</v>
      </c>
      <c r="AK48" s="407" t="s">
        <v>26</v>
      </c>
      <c r="AL48" s="408"/>
      <c r="AM48" s="516" t="str" cm="1">
        <f t="array" aca="1" ref="AM48" ca="1">+IF(INDIRECT("Worksheet!$K"&amp;AH40)&gt;0,INDIRECT("Worksheet!$K"&amp;AH40),"NO facia")</f>
        <v>NO facia</v>
      </c>
      <c r="AN48" s="517"/>
      <c r="AP48" s="412" t="s">
        <v>19</v>
      </c>
      <c r="AQ48" s="413" t="s">
        <v>25</v>
      </c>
      <c r="AR48" s="504"/>
      <c r="AS48" s="504"/>
      <c r="AT48" s="504"/>
      <c r="AU48" s="505"/>
      <c r="AY48" s="412" t="s">
        <v>19</v>
      </c>
      <c r="AZ48" s="413" t="s">
        <v>25</v>
      </c>
      <c r="BA48" s="407" t="s">
        <v>26</v>
      </c>
      <c r="BB48" s="408"/>
      <c r="BC48" s="516" t="str" cm="1">
        <f t="array" aca="1" ref="BC48" ca="1">+IF(INDIRECT("Worksheet!$K"&amp;AX40)&gt;0,INDIRECT("Worksheet!$K"&amp;AX40),"NO facia")</f>
        <v>NO facia</v>
      </c>
      <c r="BD48" s="517"/>
      <c r="BF48" s="412" t="s">
        <v>19</v>
      </c>
      <c r="BG48" s="413" t="s">
        <v>25</v>
      </c>
      <c r="BH48" s="504"/>
      <c r="BI48" s="504"/>
      <c r="BJ48" s="504"/>
      <c r="BK48" s="505"/>
    </row>
    <row r="49" spans="1:69" ht="29.15" customHeight="1" x14ac:dyDescent="0.45">
      <c r="C49" s="414" cm="1">
        <f t="array" aca="1" ref="C49" ca="1">+D44-INDIRECT("Worksheet!$AL"&amp;B40)</f>
        <v>34</v>
      </c>
      <c r="D49" s="415">
        <f ca="1">ROUND(+F44+16,0)</f>
        <v>157</v>
      </c>
      <c r="E49" s="407" t="s">
        <v>27</v>
      </c>
      <c r="F49" s="408"/>
      <c r="G49" s="516" t="str" cm="1">
        <f t="array" aca="1" ref="G49" ca="1">+IF(INDIRECT("Worksheet!$K"&amp;B40)&gt;0,IF(INDIRECT("Worksheet!$S"&amp;B40)="yes","Double Brkts",IF(INDIRECT("Worksheet!$S"&amp;B40)="NO","facia brkts","reg. brkts")),"reg. brkts")</f>
        <v>reg. brkts</v>
      </c>
      <c r="H49" s="517"/>
      <c r="J49" s="416">
        <f ca="1">C49</f>
        <v>34</v>
      </c>
      <c r="K49" s="417">
        <f ca="1">D49</f>
        <v>157</v>
      </c>
      <c r="L49" s="506"/>
      <c r="M49" s="506"/>
      <c r="N49" s="506"/>
      <c r="O49" s="507"/>
      <c r="S49" s="414" cm="1">
        <f t="array" aca="1" ref="S49" ca="1">+T44-INDIRECT("Worksheet!$AL"&amp;R40)</f>
        <v>0</v>
      </c>
      <c r="T49" s="415">
        <f ca="1">ROUND(+V44+16,0)</f>
        <v>16</v>
      </c>
      <c r="U49" s="407" t="s">
        <v>27</v>
      </c>
      <c r="V49" s="408"/>
      <c r="W49" s="516" t="str" cm="1">
        <f t="array" aca="1" ref="W49" ca="1">+IF(INDIRECT("Worksheet!$K"&amp;R40)&gt;0,IF(INDIRECT("Worksheet!$S"&amp;R40)="yes","Double Brkts",IF(INDIRECT("Worksheet!$S"&amp;R40)="NO","facia brkts","reg. brkts")),"reg. brkts")</f>
        <v>reg. brkts</v>
      </c>
      <c r="X49" s="517"/>
      <c r="Z49" s="416">
        <f ca="1">S49</f>
        <v>0</v>
      </c>
      <c r="AA49" s="417">
        <f ca="1">T49</f>
        <v>16</v>
      </c>
      <c r="AB49" s="506"/>
      <c r="AC49" s="506"/>
      <c r="AD49" s="506"/>
      <c r="AE49" s="507"/>
      <c r="AI49" s="414" cm="1">
        <f t="array" aca="1" ref="AI49" ca="1">+AJ44-INDIRECT("Worksheet!$AL"&amp;AH40)</f>
        <v>0</v>
      </c>
      <c r="AJ49" s="415">
        <f ca="1">ROUND(+AL44+16,0)</f>
        <v>16</v>
      </c>
      <c r="AK49" s="407" t="s">
        <v>27</v>
      </c>
      <c r="AL49" s="408"/>
      <c r="AM49" s="516" t="str" cm="1">
        <f t="array" aca="1" ref="AM49" ca="1">+IF(INDIRECT("Worksheet!$K"&amp;AH40)&gt;0,IF(INDIRECT("Worksheet!$S"&amp;AH40)="yes","Double Brkts",IF(INDIRECT("Worksheet!$S"&amp;AH40)="NO","facia brkts","reg. brkts")),"reg. brkts")</f>
        <v>reg. brkts</v>
      </c>
      <c r="AN49" s="517"/>
      <c r="AP49" s="416">
        <f ca="1">AI49</f>
        <v>0</v>
      </c>
      <c r="AQ49" s="417">
        <f ca="1">AJ49</f>
        <v>16</v>
      </c>
      <c r="AR49" s="506"/>
      <c r="AS49" s="506"/>
      <c r="AT49" s="506"/>
      <c r="AU49" s="507"/>
      <c r="AY49" s="414" cm="1">
        <f t="array" aca="1" ref="AY49" ca="1">+AZ44-INDIRECT("Worksheet!$AL"&amp;AX40)</f>
        <v>0</v>
      </c>
      <c r="AZ49" s="415">
        <f ca="1">ROUND(+BB44+16,0)</f>
        <v>16</v>
      </c>
      <c r="BA49" s="407" t="s">
        <v>27</v>
      </c>
      <c r="BB49" s="408"/>
      <c r="BC49" s="516" t="str" cm="1">
        <f t="array" aca="1" ref="BC49" ca="1">+IF(INDIRECT("Worksheet!$K"&amp;AX40)&gt;0,IF(INDIRECT("Worksheet!$S"&amp;AX40)="yes","Double Brkts",IF(INDIRECT("Worksheet!$S"&amp;AX40)="NO","facia brkts","reg. brkts")),"reg. brkts")</f>
        <v>reg. brkts</v>
      </c>
      <c r="BD49" s="517"/>
      <c r="BF49" s="416">
        <f ca="1">AY49</f>
        <v>0</v>
      </c>
      <c r="BG49" s="417">
        <f ca="1">AZ49</f>
        <v>16</v>
      </c>
      <c r="BH49" s="506"/>
      <c r="BI49" s="506"/>
      <c r="BJ49" s="506"/>
      <c r="BK49" s="507"/>
    </row>
    <row r="50" spans="1:69" ht="29.95" customHeight="1" thickBot="1" x14ac:dyDescent="0.55000000000000004">
      <c r="C50" s="418"/>
      <c r="D50" s="419" t="str">
        <f ca="1">+IF(C44&gt;0,"ROLLERSHADE","do not use")</f>
        <v>ROLLERSHADE</v>
      </c>
      <c r="E50" s="420"/>
      <c r="F50" s="420"/>
      <c r="G50" s="420"/>
      <c r="H50" s="421"/>
      <c r="J50" s="422"/>
      <c r="K50" s="423" t="str">
        <f ca="1">+IF(C44&gt;0,"TUBE SIZE","do not use")</f>
        <v>TUBE SIZE</v>
      </c>
      <c r="L50" s="424"/>
      <c r="M50" s="424"/>
      <c r="N50" s="502" t="str">
        <f ca="1">C44</f>
        <v>Tube 2.375</v>
      </c>
      <c r="O50" s="503"/>
      <c r="S50" s="418"/>
      <c r="T50" s="419" t="str">
        <f ca="1">+IF(S44&gt;0,"ROLLERSHADE","do not use")</f>
        <v>do not use</v>
      </c>
      <c r="U50" s="420"/>
      <c r="V50" s="420"/>
      <c r="W50" s="420"/>
      <c r="X50" s="421"/>
      <c r="Z50" s="422"/>
      <c r="AA50" s="423" t="str">
        <f ca="1">+IF(S44&gt;0,"TUBE SIZE","do not use")</f>
        <v>do not use</v>
      </c>
      <c r="AB50" s="424"/>
      <c r="AC50" s="424"/>
      <c r="AD50" s="502">
        <f ca="1">S44</f>
        <v>0</v>
      </c>
      <c r="AE50" s="503"/>
      <c r="AI50" s="418"/>
      <c r="AJ50" s="419" t="str">
        <f ca="1">+IF(AI44&gt;0,"ROLLERSHADE","do not use")</f>
        <v>do not use</v>
      </c>
      <c r="AK50" s="420"/>
      <c r="AL50" s="420"/>
      <c r="AM50" s="420"/>
      <c r="AN50" s="421"/>
      <c r="AP50" s="422"/>
      <c r="AQ50" s="423" t="str">
        <f ca="1">+IF(AI44&gt;0,"TUBE SIZE","do not use")</f>
        <v>do not use</v>
      </c>
      <c r="AR50" s="424"/>
      <c r="AS50" s="424"/>
      <c r="AT50" s="502">
        <f ca="1">AI44</f>
        <v>0</v>
      </c>
      <c r="AU50" s="503"/>
      <c r="AY50" s="418"/>
      <c r="AZ50" s="419" t="str">
        <f ca="1">+IF(AY44&gt;0,"ROLLERSHADE","do not use")</f>
        <v>do not use</v>
      </c>
      <c r="BA50" s="420"/>
      <c r="BB50" s="420"/>
      <c r="BC50" s="420"/>
      <c r="BD50" s="421"/>
      <c r="BF50" s="422"/>
      <c r="BG50" s="423" t="str">
        <f ca="1">+IF(AY44&gt;0,"TUBE SIZE","do not use")</f>
        <v>do not use</v>
      </c>
      <c r="BH50" s="424"/>
      <c r="BI50" s="424"/>
      <c r="BJ50" s="502">
        <f ca="1">AY44</f>
        <v>0</v>
      </c>
      <c r="BK50" s="503"/>
    </row>
    <row r="51" spans="1:69" ht="59.25" customHeight="1" thickBot="1" x14ac:dyDescent="0.35">
      <c r="H51" s="376"/>
      <c r="O51" s="376"/>
      <c r="X51" s="376"/>
      <c r="AE51" s="376"/>
      <c r="AN51" s="376"/>
      <c r="AU51" s="376"/>
      <c r="BD51" s="376"/>
      <c r="BK51" s="376"/>
    </row>
    <row r="52" spans="1:69" ht="20.95" customHeight="1" thickBot="1" x14ac:dyDescent="0.35">
      <c r="A52" s="372" t="s">
        <v>50</v>
      </c>
      <c r="B52" s="372">
        <v>19</v>
      </c>
      <c r="C52" s="377" t="s">
        <v>20</v>
      </c>
      <c r="D52" s="508">
        <f>+jobnumber</f>
        <v>30894</v>
      </c>
      <c r="E52" s="509"/>
      <c r="F52" s="509"/>
      <c r="G52" s="510"/>
      <c r="H52" s="511" t="str" cm="1">
        <f t="array" aca="1" ref="H52" ca="1">INDIRECT("Worksheet!$B"&amp;B52)</f>
        <v>A5</v>
      </c>
      <c r="J52" s="377" t="s">
        <v>20</v>
      </c>
      <c r="K52" s="378">
        <f>+jobnumber</f>
        <v>30894</v>
      </c>
      <c r="L52" s="379"/>
      <c r="M52" s="379"/>
      <c r="N52" s="379"/>
      <c r="O52" s="511" t="str">
        <f ca="1">H52</f>
        <v>A5</v>
      </c>
      <c r="Q52" s="372" t="s">
        <v>55</v>
      </c>
      <c r="R52" s="372">
        <v>24</v>
      </c>
      <c r="S52" s="377" t="s">
        <v>20</v>
      </c>
      <c r="T52" s="508">
        <f>+jobnumber</f>
        <v>30894</v>
      </c>
      <c r="U52" s="509"/>
      <c r="V52" s="509"/>
      <c r="W52" s="510"/>
      <c r="X52" s="511" t="str" cm="1">
        <f t="array" aca="1" ref="X52" ca="1">INDIRECT("Worksheet!$B"&amp;R52)</f>
        <v>A10</v>
      </c>
      <c r="Z52" s="377" t="s">
        <v>20</v>
      </c>
      <c r="AA52" s="378">
        <f>+jobnumber</f>
        <v>30894</v>
      </c>
      <c r="AB52" s="379"/>
      <c r="AC52" s="379"/>
      <c r="AD52" s="379"/>
      <c r="AE52" s="511" t="str">
        <f ca="1">X52</f>
        <v>A10</v>
      </c>
      <c r="AG52" s="372" t="s">
        <v>61</v>
      </c>
      <c r="AH52" s="372">
        <v>29</v>
      </c>
      <c r="AI52" s="377" t="s">
        <v>20</v>
      </c>
      <c r="AJ52" s="508">
        <f>+jobnumber</f>
        <v>30894</v>
      </c>
      <c r="AK52" s="509"/>
      <c r="AL52" s="509"/>
      <c r="AM52" s="510"/>
      <c r="AN52" s="511" t="str" cm="1">
        <f t="array" aca="1" ref="AN52" ca="1">INDIRECT("Worksheet!$B"&amp;AH52)</f>
        <v>A15</v>
      </c>
      <c r="AP52" s="377" t="s">
        <v>20</v>
      </c>
      <c r="AQ52" s="378">
        <f>+jobnumber</f>
        <v>30894</v>
      </c>
      <c r="AR52" s="379"/>
      <c r="AS52" s="379"/>
      <c r="AT52" s="379"/>
      <c r="AU52" s="511" t="str">
        <f ca="1">AN52</f>
        <v>A15</v>
      </c>
      <c r="AW52" s="372" t="s">
        <v>66</v>
      </c>
      <c r="AX52" s="372">
        <v>34</v>
      </c>
      <c r="AY52" s="377" t="s">
        <v>20</v>
      </c>
      <c r="AZ52" s="508">
        <f>+jobnumber</f>
        <v>30894</v>
      </c>
      <c r="BA52" s="509"/>
      <c r="BB52" s="509"/>
      <c r="BC52" s="510"/>
      <c r="BD52" s="511" t="str" cm="1">
        <f t="array" aca="1" ref="BD52" ca="1">INDIRECT("Worksheet!$B"&amp;AX52)</f>
        <v>A20</v>
      </c>
      <c r="BF52" s="377" t="s">
        <v>20</v>
      </c>
      <c r="BG52" s="378">
        <f>+jobnumber</f>
        <v>30894</v>
      </c>
      <c r="BH52" s="379"/>
      <c r="BI52" s="379"/>
      <c r="BJ52" s="379"/>
      <c r="BK52" s="511" t="str">
        <f ca="1">BD52</f>
        <v>A20</v>
      </c>
    </row>
    <row r="53" spans="1:69" ht="20.95" customHeight="1" thickBot="1" x14ac:dyDescent="0.35">
      <c r="C53" s="380" t="s">
        <v>21</v>
      </c>
      <c r="D53" s="513" t="str">
        <f>+_xlfn.SINGLE(Bill_Name)</f>
        <v>Westland Construction</v>
      </c>
      <c r="E53" s="514"/>
      <c r="F53" s="514"/>
      <c r="G53" s="515"/>
      <c r="H53" s="512"/>
      <c r="I53" s="381"/>
      <c r="J53" s="380" t="s">
        <v>21</v>
      </c>
      <c r="K53" s="382" t="str">
        <f>+_xlfn.SINGLE(Bill_Name)</f>
        <v>Westland Construction</v>
      </c>
      <c r="L53" s="383"/>
      <c r="M53" s="383"/>
      <c r="N53" s="383"/>
      <c r="O53" s="512"/>
      <c r="S53" s="380" t="s">
        <v>21</v>
      </c>
      <c r="T53" s="513" t="str">
        <f>+_xlfn.SINGLE(Bill_Name)</f>
        <v>Westland Construction</v>
      </c>
      <c r="U53" s="514"/>
      <c r="V53" s="514"/>
      <c r="W53" s="515"/>
      <c r="X53" s="512"/>
      <c r="Y53" s="381"/>
      <c r="Z53" s="380" t="s">
        <v>21</v>
      </c>
      <c r="AA53" s="382" t="str">
        <f>+_xlfn.SINGLE(Bill_Name)</f>
        <v>Westland Construction</v>
      </c>
      <c r="AB53" s="383"/>
      <c r="AC53" s="383"/>
      <c r="AD53" s="383"/>
      <c r="AE53" s="512"/>
      <c r="AI53" s="380" t="s">
        <v>21</v>
      </c>
      <c r="AJ53" s="513" t="str">
        <f>+_xlfn.SINGLE(Bill_Name)</f>
        <v>Westland Construction</v>
      </c>
      <c r="AK53" s="514"/>
      <c r="AL53" s="514"/>
      <c r="AM53" s="515"/>
      <c r="AN53" s="512"/>
      <c r="AO53" s="381"/>
      <c r="AP53" s="380" t="s">
        <v>21</v>
      </c>
      <c r="AQ53" s="382" t="str">
        <f>+_xlfn.SINGLE(Bill_Name)</f>
        <v>Westland Construction</v>
      </c>
      <c r="AR53" s="383"/>
      <c r="AS53" s="383"/>
      <c r="AT53" s="383"/>
      <c r="AU53" s="512"/>
      <c r="AY53" s="380" t="s">
        <v>21</v>
      </c>
      <c r="AZ53" s="513" t="str">
        <f>+_xlfn.SINGLE(Bill_Name)</f>
        <v>Westland Construction</v>
      </c>
      <c r="BA53" s="514"/>
      <c r="BB53" s="514"/>
      <c r="BC53" s="515"/>
      <c r="BD53" s="512"/>
      <c r="BE53" s="381"/>
      <c r="BF53" s="380" t="s">
        <v>21</v>
      </c>
      <c r="BG53" s="382" t="str">
        <f>+_xlfn.SINGLE(Bill_Name)</f>
        <v>Westland Construction</v>
      </c>
      <c r="BH53" s="383"/>
      <c r="BI53" s="383"/>
      <c r="BJ53" s="383"/>
      <c r="BK53" s="512"/>
    </row>
    <row r="54" spans="1:69" s="381" customFormat="1" ht="20.95" customHeight="1" x14ac:dyDescent="0.3">
      <c r="A54" s="372"/>
      <c r="B54" s="372"/>
      <c r="C54" s="384" t="s">
        <v>74</v>
      </c>
      <c r="D54" s="519" t="str">
        <f>+jobname</f>
        <v>Pago Pago Temple Endowment Change Order</v>
      </c>
      <c r="E54" s="520"/>
      <c r="F54" s="520"/>
      <c r="G54" s="520"/>
      <c r="H54" s="521"/>
      <c r="J54" s="385" t="s">
        <v>74</v>
      </c>
      <c r="K54" s="386" t="str">
        <f>+jobname</f>
        <v>Pago Pago Temple Endowment Change Order</v>
      </c>
      <c r="L54" s="387"/>
      <c r="M54" s="387"/>
      <c r="N54" s="387"/>
      <c r="O54" s="388"/>
      <c r="Q54" s="372"/>
      <c r="R54" s="372"/>
      <c r="S54" s="384" t="s">
        <v>74</v>
      </c>
      <c r="T54" s="519" t="str">
        <f>+jobname</f>
        <v>Pago Pago Temple Endowment Change Order</v>
      </c>
      <c r="U54" s="520"/>
      <c r="V54" s="520"/>
      <c r="W54" s="520"/>
      <c r="X54" s="521"/>
      <c r="Z54" s="385" t="s">
        <v>74</v>
      </c>
      <c r="AA54" s="386" t="str">
        <f>+jobname</f>
        <v>Pago Pago Temple Endowment Change Order</v>
      </c>
      <c r="AB54" s="387"/>
      <c r="AC54" s="387"/>
      <c r="AD54" s="387"/>
      <c r="AE54" s="388"/>
      <c r="AG54" s="372"/>
      <c r="AH54" s="372"/>
      <c r="AI54" s="384" t="s">
        <v>74</v>
      </c>
      <c r="AJ54" s="519" t="str">
        <f>+jobname</f>
        <v>Pago Pago Temple Endowment Change Order</v>
      </c>
      <c r="AK54" s="520"/>
      <c r="AL54" s="520"/>
      <c r="AM54" s="520"/>
      <c r="AN54" s="521"/>
      <c r="AP54" s="385" t="s">
        <v>74</v>
      </c>
      <c r="AQ54" s="386" t="str">
        <f>+jobname</f>
        <v>Pago Pago Temple Endowment Change Order</v>
      </c>
      <c r="AR54" s="387"/>
      <c r="AS54" s="387"/>
      <c r="AT54" s="387"/>
      <c r="AU54" s="388"/>
      <c r="AW54" s="372"/>
      <c r="AX54" s="372"/>
      <c r="AY54" s="384" t="s">
        <v>74</v>
      </c>
      <c r="AZ54" s="519" t="str">
        <f>+jobname</f>
        <v>Pago Pago Temple Endowment Change Order</v>
      </c>
      <c r="BA54" s="520"/>
      <c r="BB54" s="520"/>
      <c r="BC54" s="520"/>
      <c r="BD54" s="521"/>
      <c r="BF54" s="385" t="s">
        <v>74</v>
      </c>
      <c r="BG54" s="386" t="str">
        <f>+jobname</f>
        <v>Pago Pago Temple Endowment Change Order</v>
      </c>
      <c r="BH54" s="387"/>
      <c r="BI54" s="387"/>
      <c r="BJ54" s="387"/>
      <c r="BK54" s="388"/>
      <c r="BL54" s="103"/>
      <c r="BM54" s="103"/>
      <c r="BN54" s="103"/>
      <c r="BO54" s="103"/>
      <c r="BP54" s="103"/>
      <c r="BQ54" s="103"/>
    </row>
    <row r="55" spans="1:69" s="381" customFormat="1" ht="20.95" customHeight="1" x14ac:dyDescent="0.3">
      <c r="A55" s="372"/>
      <c r="B55" s="372"/>
      <c r="C55" s="389" t="s">
        <v>22</v>
      </c>
      <c r="D55" s="390" cm="1">
        <f t="array" aca="1" ref="D55" ca="1">INDIRECT("Worksheet!$C"&amp;B52)</f>
        <v>140</v>
      </c>
      <c r="H55" s="391" t="str">
        <f>+IF(Worksheet!$Q$9=1,"Install",IF(Worksheet!$Q$9=2,"Deliver",IF(Worksheet!$Q$9=3,"Will Call",0)))</f>
        <v>Install</v>
      </c>
      <c r="J55" s="389" t="s">
        <v>22</v>
      </c>
      <c r="K55" s="392">
        <f ca="1">D55</f>
        <v>140</v>
      </c>
      <c r="N55" s="393" t="str">
        <f ca="1">G57</f>
        <v>Motor</v>
      </c>
      <c r="O55" s="394" t="str">
        <f ca="1">H57</f>
        <v>Idler</v>
      </c>
      <c r="Q55" s="372"/>
      <c r="R55" s="372"/>
      <c r="S55" s="389" t="s">
        <v>22</v>
      </c>
      <c r="T55" s="390" cm="1">
        <f t="array" aca="1" ref="T55" ca="1">INDIRECT("Worksheet!$C"&amp;R52)</f>
        <v>0</v>
      </c>
      <c r="X55" s="391" t="str">
        <f>+IF(Worksheet!$Q$9=1,"Install",IF(Worksheet!$Q$9=2,"Deliver",IF(Worksheet!$Q$9=3,"Will Call",0)))</f>
        <v>Install</v>
      </c>
      <c r="Z55" s="389" t="s">
        <v>22</v>
      </c>
      <c r="AA55" s="392">
        <f ca="1">T55</f>
        <v>0</v>
      </c>
      <c r="AD55" s="393" t="str">
        <f ca="1">W57</f>
        <v xml:space="preserve"> </v>
      </c>
      <c r="AE55" s="394" t="str">
        <f ca="1">X57</f>
        <v xml:space="preserve"> </v>
      </c>
      <c r="AG55" s="372"/>
      <c r="AH55" s="372"/>
      <c r="AI55" s="389" t="s">
        <v>22</v>
      </c>
      <c r="AJ55" s="390" cm="1">
        <f t="array" aca="1" ref="AJ55" ca="1">INDIRECT("Worksheet!$C"&amp;AH52)</f>
        <v>0</v>
      </c>
      <c r="AN55" s="391" t="str">
        <f>+IF(Worksheet!$Q$9=1,"Install",IF(Worksheet!$Q$9=2,"Deliver",IF(Worksheet!$Q$9=3,"Will Call",0)))</f>
        <v>Install</v>
      </c>
      <c r="AP55" s="389" t="s">
        <v>22</v>
      </c>
      <c r="AQ55" s="392">
        <f ca="1">AJ55</f>
        <v>0</v>
      </c>
      <c r="AT55" s="393" t="str">
        <f ca="1">AM57</f>
        <v xml:space="preserve"> </v>
      </c>
      <c r="AU55" s="394" t="str">
        <f ca="1">AN57</f>
        <v xml:space="preserve"> </v>
      </c>
      <c r="AW55" s="372"/>
      <c r="AX55" s="372"/>
      <c r="AY55" s="389" t="s">
        <v>22</v>
      </c>
      <c r="AZ55" s="390" cm="1">
        <f t="array" aca="1" ref="AZ55" ca="1">INDIRECT("Worksheet!$C"&amp;AX52)</f>
        <v>0</v>
      </c>
      <c r="BD55" s="391" t="str">
        <f>+IF(Worksheet!$Q$9=1,"Install",IF(Worksheet!$Q$9=2,"Deliver",IF(Worksheet!$Q$9=3,"Will Call",0)))</f>
        <v>Install</v>
      </c>
      <c r="BF55" s="389" t="s">
        <v>22</v>
      </c>
      <c r="BG55" s="392">
        <f ca="1">AZ55</f>
        <v>0</v>
      </c>
      <c r="BJ55" s="393" t="str">
        <f ca="1">BC57</f>
        <v xml:space="preserve"> </v>
      </c>
      <c r="BK55" s="394" t="str">
        <f ca="1">BD57</f>
        <v xml:space="preserve"> </v>
      </c>
      <c r="BL55" s="103"/>
      <c r="BM55" s="103"/>
      <c r="BN55" s="103"/>
      <c r="BO55" s="103"/>
      <c r="BP55" s="103"/>
      <c r="BQ55" s="103"/>
    </row>
    <row r="56" spans="1:69" s="381" customFormat="1" ht="20.95" customHeight="1" x14ac:dyDescent="0.3">
      <c r="A56" s="372"/>
      <c r="B56" s="372"/>
      <c r="C56" s="395" t="str" cm="1">
        <f t="array" aca="1" ref="C56" ca="1">+IF(INDIRECT("Worksheet!$D"&amp;B52)&gt;0,INDIRECT("Worksheet!$E"&amp;B52),0)</f>
        <v>Tube 2.375</v>
      </c>
      <c r="D56" s="396" cm="1">
        <f t="array" aca="1" ref="D56" ca="1">INDIRECT("Worksheet!$F"&amp;B52)</f>
        <v>46.375</v>
      </c>
      <c r="E56" s="372" t="s">
        <v>4</v>
      </c>
      <c r="F56" s="397" cm="1">
        <f t="array" aca="1" ref="F56" ca="1">INDIRECT("Worksheet!$H"&amp;B52)</f>
        <v>141</v>
      </c>
      <c r="G56" s="398"/>
      <c r="H56" s="399" t="str" cm="1">
        <f t="array" aca="1" ref="H56" ca="1">INDIRECT("Worksheet!$I"&amp;B52)</f>
        <v>IB</v>
      </c>
      <c r="J56" s="395"/>
      <c r="N56" s="398"/>
      <c r="O56" s="399"/>
      <c r="Q56" s="372"/>
      <c r="R56" s="372"/>
      <c r="S56" s="395" cm="1">
        <f t="array" aca="1" ref="S56" ca="1">+IF(INDIRECT("Worksheet!$D"&amp;R52)&gt;0,INDIRECT("Worksheet!$E"&amp;R52),0)</f>
        <v>0</v>
      </c>
      <c r="T56" s="396" cm="1">
        <f t="array" aca="1" ref="T56" ca="1">INDIRECT("Worksheet!$F"&amp;R52)</f>
        <v>0</v>
      </c>
      <c r="U56" s="372" t="s">
        <v>4</v>
      </c>
      <c r="V56" s="397" cm="1">
        <f t="array" aca="1" ref="V56" ca="1">INDIRECT("Worksheet!$H"&amp;R52)</f>
        <v>0</v>
      </c>
      <c r="W56" s="398"/>
      <c r="X56" s="399" cm="1">
        <f t="array" aca="1" ref="X56" ca="1">INDIRECT("Worksheet!$I"&amp;R52)</f>
        <v>0</v>
      </c>
      <c r="Z56" s="395"/>
      <c r="AD56" s="398"/>
      <c r="AE56" s="399"/>
      <c r="AG56" s="372"/>
      <c r="AH56" s="372"/>
      <c r="AI56" s="395" cm="1">
        <f t="array" aca="1" ref="AI56" ca="1">+IF(INDIRECT("Worksheet!$D"&amp;AH52)&gt;0,INDIRECT("Worksheet!$E"&amp;AH52),0)</f>
        <v>0</v>
      </c>
      <c r="AJ56" s="396" cm="1">
        <f t="array" aca="1" ref="AJ56" ca="1">INDIRECT("Worksheet!$F"&amp;AH52)</f>
        <v>0</v>
      </c>
      <c r="AK56" s="372" t="s">
        <v>4</v>
      </c>
      <c r="AL56" s="397" cm="1">
        <f t="array" aca="1" ref="AL56" ca="1">INDIRECT("Worksheet!$H"&amp;AH52)</f>
        <v>0</v>
      </c>
      <c r="AM56" s="398"/>
      <c r="AN56" s="399" cm="1">
        <f t="array" aca="1" ref="AN56" ca="1">INDIRECT("Worksheet!$I"&amp;AH52)</f>
        <v>0</v>
      </c>
      <c r="AP56" s="395"/>
      <c r="AT56" s="398"/>
      <c r="AU56" s="399"/>
      <c r="AW56" s="372"/>
      <c r="AX56" s="372"/>
      <c r="AY56" s="395" cm="1">
        <f t="array" aca="1" ref="AY56" ca="1">+IF(INDIRECT("Worksheet!$D"&amp;AX52)&gt;0,INDIRECT("Worksheet!$E"&amp;AX52),0)</f>
        <v>0</v>
      </c>
      <c r="AZ56" s="396" cm="1">
        <f t="array" aca="1" ref="AZ56" ca="1">INDIRECT("Worksheet!$F"&amp;AX52)</f>
        <v>0</v>
      </c>
      <c r="BA56" s="372" t="s">
        <v>4</v>
      </c>
      <c r="BB56" s="397" cm="1">
        <f t="array" aca="1" ref="BB56" ca="1">INDIRECT("Worksheet!$H"&amp;AX52)</f>
        <v>0</v>
      </c>
      <c r="BC56" s="398"/>
      <c r="BD56" s="399" cm="1">
        <f t="array" aca="1" ref="BD56" ca="1">INDIRECT("Worksheet!$I"&amp;AX52)</f>
        <v>0</v>
      </c>
      <c r="BF56" s="395"/>
      <c r="BJ56" s="398"/>
      <c r="BK56" s="399"/>
      <c r="BL56" s="103"/>
      <c r="BM56" s="103"/>
      <c r="BN56" s="103"/>
      <c r="BO56" s="103"/>
      <c r="BP56" s="103"/>
      <c r="BQ56" s="103"/>
    </row>
    <row r="57" spans="1:69" ht="20.95" customHeight="1" x14ac:dyDescent="0.3">
      <c r="C57" s="401" t="s">
        <v>18</v>
      </c>
      <c r="D57" s="522" t="str" cm="1">
        <f t="array" aca="1" ref="D57" ca="1">INDIRECT("Worksheet!$O"&amp;B52)</f>
        <v>VX Intimate Sing BO, Ivory</v>
      </c>
      <c r="E57" s="506"/>
      <c r="F57" s="506"/>
      <c r="G57" s="402" t="str" cm="1">
        <f t="array" aca="1" ref="G57" ca="1">INDIRECT("'Tube Cut'!$F"&amp;B52)</f>
        <v>Motor</v>
      </c>
      <c r="H57" s="403" t="str" cm="1">
        <f t="array" aca="1" ref="H57" ca="1">INDIRECT("'Tube Cut'!$G"&amp;B52)</f>
        <v>Idler</v>
      </c>
      <c r="J57" s="404" t="s">
        <v>824</v>
      </c>
      <c r="K57" s="397">
        <f ca="1">D56</f>
        <v>46.375</v>
      </c>
      <c r="L57" s="372" t="s">
        <v>4</v>
      </c>
      <c r="M57" s="397">
        <f ca="1">F56</f>
        <v>141</v>
      </c>
      <c r="N57" s="405"/>
      <c r="O57" s="403"/>
      <c r="S57" s="401" t="s">
        <v>18</v>
      </c>
      <c r="T57" s="522" cm="1">
        <f t="array" aca="1" ref="T57" ca="1">INDIRECT("Worksheet!$O"&amp;R52)</f>
        <v>0</v>
      </c>
      <c r="U57" s="506"/>
      <c r="V57" s="506"/>
      <c r="W57" s="402" t="str" cm="1">
        <f t="array" aca="1" ref="W57" ca="1">INDIRECT("'Tube Cut'!$F"&amp;R52)</f>
        <v xml:space="preserve"> </v>
      </c>
      <c r="X57" s="403" t="str" cm="1">
        <f t="array" aca="1" ref="X57" ca="1">INDIRECT("'Tube Cut'!$G"&amp;R52)</f>
        <v xml:space="preserve"> </v>
      </c>
      <c r="Z57" s="404" t="s">
        <v>824</v>
      </c>
      <c r="AA57" s="397">
        <f ca="1">T56</f>
        <v>0</v>
      </c>
      <c r="AB57" s="372" t="s">
        <v>4</v>
      </c>
      <c r="AC57" s="397">
        <f ca="1">V56</f>
        <v>0</v>
      </c>
      <c r="AD57" s="405"/>
      <c r="AE57" s="403"/>
      <c r="AI57" s="401" t="s">
        <v>18</v>
      </c>
      <c r="AJ57" s="522" cm="1">
        <f t="array" aca="1" ref="AJ57" ca="1">INDIRECT("Worksheet!$O"&amp;AH52)</f>
        <v>0</v>
      </c>
      <c r="AK57" s="506"/>
      <c r="AL57" s="506"/>
      <c r="AM57" s="402" t="str" cm="1">
        <f t="array" aca="1" ref="AM57" ca="1">INDIRECT("'Tube Cut'!$F"&amp;AH52)</f>
        <v xml:space="preserve"> </v>
      </c>
      <c r="AN57" s="403" t="str" cm="1">
        <f t="array" aca="1" ref="AN57" ca="1">INDIRECT("'Tube Cut'!$G"&amp;AH52)</f>
        <v xml:space="preserve"> </v>
      </c>
      <c r="AP57" s="404" t="s">
        <v>824</v>
      </c>
      <c r="AQ57" s="397">
        <f ca="1">AJ56</f>
        <v>0</v>
      </c>
      <c r="AR57" s="372" t="s">
        <v>4</v>
      </c>
      <c r="AS57" s="397">
        <f ca="1">AL56</f>
        <v>0</v>
      </c>
      <c r="AT57" s="405"/>
      <c r="AU57" s="403"/>
      <c r="AY57" s="401" t="s">
        <v>18</v>
      </c>
      <c r="AZ57" s="522" cm="1">
        <f t="array" aca="1" ref="AZ57" ca="1">INDIRECT("Worksheet!$O"&amp;AX52)</f>
        <v>0</v>
      </c>
      <c r="BA57" s="506"/>
      <c r="BB57" s="506"/>
      <c r="BC57" s="402" t="str" cm="1">
        <f t="array" aca="1" ref="BC57" ca="1">INDIRECT("'Tube Cut'!$F"&amp;AX52)</f>
        <v xml:space="preserve"> </v>
      </c>
      <c r="BD57" s="403" t="str" cm="1">
        <f t="array" aca="1" ref="BD57" ca="1">INDIRECT("'Tube Cut'!$G"&amp;AX52)</f>
        <v xml:space="preserve"> </v>
      </c>
      <c r="BF57" s="404" t="s">
        <v>824</v>
      </c>
      <c r="BG57" s="397">
        <f ca="1">AZ56</f>
        <v>0</v>
      </c>
      <c r="BH57" s="372" t="s">
        <v>4</v>
      </c>
      <c r="BI57" s="397">
        <f ca="1">BB56</f>
        <v>0</v>
      </c>
      <c r="BJ57" s="405"/>
      <c r="BK57" s="403"/>
    </row>
    <row r="58" spans="1:69" ht="20.95" customHeight="1" x14ac:dyDescent="0.3">
      <c r="C58" s="389" t="s">
        <v>23</v>
      </c>
      <c r="D58" s="406" t="str" cm="1">
        <f t="array" aca="1" ref="D58" ca="1">+IF(INDIRECT("Worksheet!$Q"&amp;B52)="V","fabric vertical",IF(INDIRECT("Worksheet!$Q"&amp;B52)="RR","fabric Railroad",0))</f>
        <v>fabric vertical</v>
      </c>
      <c r="E58" s="407" t="s">
        <v>24</v>
      </c>
      <c r="F58" s="408"/>
      <c r="G58" s="518" t="str" cm="1">
        <f t="array" aca="1" ref="G58" ca="1">+IF(INDIRECT("Worksheet!$J"&amp;B52)&gt;0,INDIRECT("Worksheet!$J"&amp;B52),"NO")</f>
        <v>Yes</v>
      </c>
      <c r="H58" s="517"/>
      <c r="J58" s="395"/>
      <c r="K58" s="409"/>
      <c r="L58" s="504" t="s">
        <v>825</v>
      </c>
      <c r="M58" s="504"/>
      <c r="N58" s="504"/>
      <c r="O58" s="505"/>
      <c r="S58" s="389" t="s">
        <v>23</v>
      </c>
      <c r="T58" s="406" cm="1">
        <f t="array" aca="1" ref="T58" ca="1">+IF(INDIRECT("Worksheet!$Q"&amp;R52)="V","fabric vertical",IF(INDIRECT("Worksheet!$Q"&amp;R52)="RR","fabric Railroad",0))</f>
        <v>0</v>
      </c>
      <c r="U58" s="407" t="s">
        <v>24</v>
      </c>
      <c r="V58" s="408"/>
      <c r="W58" s="518" t="str" cm="1">
        <f t="array" aca="1" ref="W58" ca="1">+IF(INDIRECT("Worksheet!$J"&amp;R52)&gt;0,INDIRECT("Worksheet!$J"&amp;R52),"NO")</f>
        <v>NO</v>
      </c>
      <c r="X58" s="517"/>
      <c r="Z58" s="395"/>
      <c r="AA58" s="409"/>
      <c r="AB58" s="504" t="s">
        <v>825</v>
      </c>
      <c r="AC58" s="504"/>
      <c r="AD58" s="504"/>
      <c r="AE58" s="505"/>
      <c r="AI58" s="389" t="s">
        <v>23</v>
      </c>
      <c r="AJ58" s="406" cm="1">
        <f t="array" aca="1" ref="AJ58" ca="1">+IF(INDIRECT("Worksheet!$Q"&amp;AH52)="V","fabric vertical",IF(INDIRECT("Worksheet!$Q"&amp;AH52)="RR","fabric Railroad",0))</f>
        <v>0</v>
      </c>
      <c r="AK58" s="407" t="s">
        <v>24</v>
      </c>
      <c r="AL58" s="408"/>
      <c r="AM58" s="518" t="str" cm="1">
        <f t="array" aca="1" ref="AM58" ca="1">+IF(INDIRECT("Worksheet!$J"&amp;AH52)&gt;0,INDIRECT("Worksheet!$J"&amp;AH52),"NO")</f>
        <v>NO</v>
      </c>
      <c r="AN58" s="517"/>
      <c r="AP58" s="395"/>
      <c r="AQ58" s="409"/>
      <c r="AR58" s="504" t="s">
        <v>825</v>
      </c>
      <c r="AS58" s="504"/>
      <c r="AT58" s="504"/>
      <c r="AU58" s="505"/>
      <c r="AY58" s="389" t="s">
        <v>23</v>
      </c>
      <c r="AZ58" s="406" cm="1">
        <f t="array" aca="1" ref="AZ58" ca="1">+IF(INDIRECT("Worksheet!$Q"&amp;AX52)="V","fabric vertical",IF(INDIRECT("Worksheet!$Q"&amp;AX52)="RR","fabric Railroad",0))</f>
        <v>0</v>
      </c>
      <c r="BA58" s="407" t="s">
        <v>24</v>
      </c>
      <c r="BB58" s="408"/>
      <c r="BC58" s="518" t="str" cm="1">
        <f t="array" aca="1" ref="BC58" ca="1">+IF(INDIRECT("Worksheet!$J"&amp;AX52)&gt;0,INDIRECT("Worksheet!$J"&amp;AX52),"NO")</f>
        <v>NO</v>
      </c>
      <c r="BD58" s="517"/>
      <c r="BF58" s="395"/>
      <c r="BG58" s="409"/>
      <c r="BH58" s="504" t="s">
        <v>825</v>
      </c>
      <c r="BI58" s="504"/>
      <c r="BJ58" s="504"/>
      <c r="BK58" s="505"/>
    </row>
    <row r="59" spans="1:69" s="409" customFormat="1" ht="20.95" customHeight="1" x14ac:dyDescent="0.3">
      <c r="A59" s="372"/>
      <c r="B59" s="372"/>
      <c r="C59" s="523" t="str" cm="1">
        <f t="array" aca="1" ref="C59" ca="1">+INDIRECT("Worksheet!$P"&amp;B52)</f>
        <v>Panel width - 43 3/4"center on tube</v>
      </c>
      <c r="D59" s="524"/>
      <c r="E59" s="407" t="s">
        <v>238</v>
      </c>
      <c r="F59" s="410"/>
      <c r="G59" s="516" t="str" cm="1">
        <f t="array" aca="1" ref="G59" ca="1">INDIRECT("Worksheet!$L"&amp;B52)</f>
        <v>Sealed</v>
      </c>
      <c r="H59" s="517"/>
      <c r="J59" s="411"/>
      <c r="L59" s="504"/>
      <c r="M59" s="504"/>
      <c r="N59" s="504"/>
      <c r="O59" s="505"/>
      <c r="Q59" s="372"/>
      <c r="R59" s="372"/>
      <c r="S59" s="523" t="str" cm="1">
        <f t="array" aca="1" ref="S59" ca="1">+INDIRECT("Worksheet!$P"&amp;R52)</f>
        <v xml:space="preserve"> </v>
      </c>
      <c r="T59" s="524"/>
      <c r="U59" s="407" t="s">
        <v>238</v>
      </c>
      <c r="V59" s="410"/>
      <c r="W59" s="516" t="str" cm="1">
        <f t="array" aca="1" ref="W59" ca="1">INDIRECT("Worksheet!$L"&amp;R52)</f>
        <v>Sealed</v>
      </c>
      <c r="X59" s="517"/>
      <c r="Z59" s="411"/>
      <c r="AB59" s="504"/>
      <c r="AC59" s="504"/>
      <c r="AD59" s="504"/>
      <c r="AE59" s="505"/>
      <c r="AG59" s="372"/>
      <c r="AH59" s="372"/>
      <c r="AI59" s="523" t="str" cm="1">
        <f t="array" aca="1" ref="AI59" ca="1">+INDIRECT("Worksheet!$P"&amp;AH52)</f>
        <v xml:space="preserve"> </v>
      </c>
      <c r="AJ59" s="524"/>
      <c r="AK59" s="407" t="s">
        <v>238</v>
      </c>
      <c r="AL59" s="410"/>
      <c r="AM59" s="516" t="str" cm="1">
        <f t="array" aca="1" ref="AM59" ca="1">INDIRECT("Worksheet!$L"&amp;AH52)</f>
        <v>Sealed</v>
      </c>
      <c r="AN59" s="517"/>
      <c r="AP59" s="411"/>
      <c r="AR59" s="504"/>
      <c r="AS59" s="504"/>
      <c r="AT59" s="504"/>
      <c r="AU59" s="505"/>
      <c r="AW59" s="372"/>
      <c r="AX59" s="372"/>
      <c r="AY59" s="523" t="str" cm="1">
        <f t="array" aca="1" ref="AY59" ca="1">+INDIRECT("Worksheet!$P"&amp;AX52)</f>
        <v xml:space="preserve"> </v>
      </c>
      <c r="AZ59" s="524"/>
      <c r="BA59" s="407" t="s">
        <v>238</v>
      </c>
      <c r="BB59" s="410"/>
      <c r="BC59" s="516" t="str" cm="1">
        <f t="array" aca="1" ref="BC59" ca="1">INDIRECT("Worksheet!$L"&amp;AX52)</f>
        <v>Sealed</v>
      </c>
      <c r="BD59" s="517"/>
      <c r="BF59" s="411"/>
      <c r="BH59" s="504"/>
      <c r="BI59" s="504"/>
      <c r="BJ59" s="504"/>
      <c r="BK59" s="505"/>
      <c r="BL59" s="103"/>
      <c r="BM59" s="103"/>
      <c r="BN59" s="103"/>
      <c r="BO59" s="103"/>
      <c r="BP59" s="103"/>
      <c r="BQ59" s="103"/>
    </row>
    <row r="60" spans="1:69" ht="20.95" customHeight="1" x14ac:dyDescent="0.3">
      <c r="C60" s="412" t="s">
        <v>19</v>
      </c>
      <c r="D60" s="413" t="s">
        <v>25</v>
      </c>
      <c r="E60" s="407" t="s">
        <v>26</v>
      </c>
      <c r="F60" s="408"/>
      <c r="G60" s="516" t="str" cm="1">
        <f t="array" aca="1" ref="G60" ca="1">+IF(INDIRECT("Worksheet!$K"&amp;B52)&gt;0,INDIRECT("Worksheet!$K"&amp;B52),"NO facia")</f>
        <v>NO facia</v>
      </c>
      <c r="H60" s="517"/>
      <c r="J60" s="412" t="s">
        <v>19</v>
      </c>
      <c r="K60" s="413" t="s">
        <v>25</v>
      </c>
      <c r="L60" s="504"/>
      <c r="M60" s="504"/>
      <c r="N60" s="504"/>
      <c r="O60" s="505"/>
      <c r="S60" s="412" t="s">
        <v>19</v>
      </c>
      <c r="T60" s="413" t="s">
        <v>25</v>
      </c>
      <c r="U60" s="407" t="s">
        <v>26</v>
      </c>
      <c r="V60" s="408"/>
      <c r="W60" s="516" t="str" cm="1">
        <f t="array" aca="1" ref="W60" ca="1">+IF(INDIRECT("Worksheet!$K"&amp;R52)&gt;0,INDIRECT("Worksheet!$K"&amp;R52),"NO facia")</f>
        <v>NO facia</v>
      </c>
      <c r="X60" s="517"/>
      <c r="Z60" s="412" t="s">
        <v>19</v>
      </c>
      <c r="AA60" s="413" t="s">
        <v>25</v>
      </c>
      <c r="AB60" s="504"/>
      <c r="AC60" s="504"/>
      <c r="AD60" s="504"/>
      <c r="AE60" s="505"/>
      <c r="AI60" s="412" t="s">
        <v>19</v>
      </c>
      <c r="AJ60" s="413" t="s">
        <v>25</v>
      </c>
      <c r="AK60" s="407" t="s">
        <v>26</v>
      </c>
      <c r="AL60" s="408"/>
      <c r="AM60" s="516" t="str" cm="1">
        <f t="array" aca="1" ref="AM60" ca="1">+IF(INDIRECT("Worksheet!$K"&amp;AH52)&gt;0,INDIRECT("Worksheet!$K"&amp;AH52),"NO facia")</f>
        <v>NO facia</v>
      </c>
      <c r="AN60" s="517"/>
      <c r="AP60" s="412" t="s">
        <v>19</v>
      </c>
      <c r="AQ60" s="413" t="s">
        <v>25</v>
      </c>
      <c r="AR60" s="504"/>
      <c r="AS60" s="504"/>
      <c r="AT60" s="504"/>
      <c r="AU60" s="505"/>
      <c r="AY60" s="412" t="s">
        <v>19</v>
      </c>
      <c r="AZ60" s="413" t="s">
        <v>25</v>
      </c>
      <c r="BA60" s="407" t="s">
        <v>26</v>
      </c>
      <c r="BB60" s="408"/>
      <c r="BC60" s="516" t="str" cm="1">
        <f t="array" aca="1" ref="BC60" ca="1">+IF(INDIRECT("Worksheet!$K"&amp;AX52)&gt;0,INDIRECT("Worksheet!$K"&amp;AX52),"NO facia")</f>
        <v>NO facia</v>
      </c>
      <c r="BD60" s="517"/>
      <c r="BF60" s="412" t="s">
        <v>19</v>
      </c>
      <c r="BG60" s="413" t="s">
        <v>25</v>
      </c>
      <c r="BH60" s="504"/>
      <c r="BI60" s="504"/>
      <c r="BJ60" s="504"/>
      <c r="BK60" s="505"/>
    </row>
    <row r="61" spans="1:69" ht="30.15" x14ac:dyDescent="0.45">
      <c r="C61" s="414" cm="1">
        <f t="array" aca="1" ref="C61" ca="1">+D56-INDIRECT("Worksheet!$AL"&amp;B52)</f>
        <v>44.375</v>
      </c>
      <c r="D61" s="415">
        <f ca="1">ROUND(+F56+16,0)</f>
        <v>157</v>
      </c>
      <c r="E61" s="407" t="s">
        <v>27</v>
      </c>
      <c r="F61" s="408"/>
      <c r="G61" s="516" t="str" cm="1">
        <f t="array" aca="1" ref="G61" ca="1">+IF(INDIRECT("Worksheet!$K"&amp;B52)&gt;0,IF(INDIRECT("Worksheet!$S"&amp;B52)="yes","Double Brkts",IF(INDIRECT("Worksheet!$S"&amp;B52)="NO","facia brkts","reg. brkts")),"reg. brkts")</f>
        <v>reg. brkts</v>
      </c>
      <c r="H61" s="517"/>
      <c r="J61" s="416">
        <f ca="1">C61</f>
        <v>44.375</v>
      </c>
      <c r="K61" s="417">
        <f ca="1">D61</f>
        <v>157</v>
      </c>
      <c r="L61" s="506"/>
      <c r="M61" s="506"/>
      <c r="N61" s="506"/>
      <c r="O61" s="507"/>
      <c r="S61" s="414" cm="1">
        <f t="array" aca="1" ref="S61" ca="1">+T56-INDIRECT("Worksheet!$AL"&amp;R52)</f>
        <v>0</v>
      </c>
      <c r="T61" s="415">
        <f ca="1">ROUND(+V56+16,0)</f>
        <v>16</v>
      </c>
      <c r="U61" s="407" t="s">
        <v>27</v>
      </c>
      <c r="V61" s="408"/>
      <c r="W61" s="516" t="str" cm="1">
        <f t="array" aca="1" ref="W61" ca="1">+IF(INDIRECT("Worksheet!$K"&amp;R52)&gt;0,IF(INDIRECT("Worksheet!$S"&amp;R52)="yes","Double Brkts",IF(INDIRECT("Worksheet!$S"&amp;R52)="NO","facia brkts","reg. brkts")),"reg. brkts")</f>
        <v>reg. brkts</v>
      </c>
      <c r="X61" s="517"/>
      <c r="Z61" s="416">
        <f ca="1">S61</f>
        <v>0</v>
      </c>
      <c r="AA61" s="417">
        <f ca="1">T61</f>
        <v>16</v>
      </c>
      <c r="AB61" s="506"/>
      <c r="AC61" s="506"/>
      <c r="AD61" s="506"/>
      <c r="AE61" s="507"/>
      <c r="AI61" s="414" cm="1">
        <f t="array" aca="1" ref="AI61" ca="1">+AJ56-INDIRECT("Worksheet!$AL"&amp;AH52)</f>
        <v>0</v>
      </c>
      <c r="AJ61" s="415">
        <f ca="1">ROUND(+AL56+16,0)</f>
        <v>16</v>
      </c>
      <c r="AK61" s="407" t="s">
        <v>27</v>
      </c>
      <c r="AL61" s="408"/>
      <c r="AM61" s="516" t="str" cm="1">
        <f t="array" aca="1" ref="AM61" ca="1">+IF(INDIRECT("Worksheet!$K"&amp;AH52)&gt;0,IF(INDIRECT("Worksheet!$S"&amp;AH52)="yes","Double Brkts",IF(INDIRECT("Worksheet!$S"&amp;AH52)="NO","facia brkts","reg. brkts")),"reg. brkts")</f>
        <v>reg. brkts</v>
      </c>
      <c r="AN61" s="517"/>
      <c r="AP61" s="416">
        <f ca="1">AI61</f>
        <v>0</v>
      </c>
      <c r="AQ61" s="417">
        <f ca="1">AJ61</f>
        <v>16</v>
      </c>
      <c r="AR61" s="506"/>
      <c r="AS61" s="506"/>
      <c r="AT61" s="506"/>
      <c r="AU61" s="507"/>
      <c r="AY61" s="414" cm="1">
        <f t="array" aca="1" ref="AY61" ca="1">+AZ56-INDIRECT("Worksheet!$AL"&amp;AX52)</f>
        <v>0</v>
      </c>
      <c r="AZ61" s="415">
        <f ca="1">ROUND(+BB56+16,0)</f>
        <v>16</v>
      </c>
      <c r="BA61" s="407" t="s">
        <v>27</v>
      </c>
      <c r="BB61" s="408"/>
      <c r="BC61" s="516" t="str" cm="1">
        <f t="array" aca="1" ref="BC61" ca="1">+IF(INDIRECT("Worksheet!$K"&amp;AX52)&gt;0,IF(INDIRECT("Worksheet!$S"&amp;AX52)="yes","Double Brkts",IF(INDIRECT("Worksheet!$S"&amp;AX52)="NO","facia brkts","reg. brkts")),"reg. brkts")</f>
        <v>reg. brkts</v>
      </c>
      <c r="BD61" s="517"/>
      <c r="BF61" s="416">
        <f ca="1">AY61</f>
        <v>0</v>
      </c>
      <c r="BG61" s="417">
        <f ca="1">AZ61</f>
        <v>16</v>
      </c>
      <c r="BH61" s="506"/>
      <c r="BI61" s="506"/>
      <c r="BJ61" s="506"/>
      <c r="BK61" s="507"/>
    </row>
    <row r="62" spans="1:69" ht="29.95" customHeight="1" thickBot="1" x14ac:dyDescent="0.55000000000000004">
      <c r="C62" s="418"/>
      <c r="D62" s="419" t="str">
        <f ca="1">+IF(C56&gt;0,"ROLLERSHADE","do not use")</f>
        <v>ROLLERSHADE</v>
      </c>
      <c r="E62" s="420"/>
      <c r="F62" s="420"/>
      <c r="G62" s="420"/>
      <c r="H62" s="421"/>
      <c r="J62" s="422"/>
      <c r="K62" s="423" t="str">
        <f ca="1">+IF(C56&gt;0,"TUBE SIZE","do not use")</f>
        <v>TUBE SIZE</v>
      </c>
      <c r="L62" s="424"/>
      <c r="M62" s="424"/>
      <c r="N62" s="502" t="str">
        <f ca="1">C56</f>
        <v>Tube 2.375</v>
      </c>
      <c r="O62" s="503"/>
      <c r="S62" s="418"/>
      <c r="T62" s="419" t="str">
        <f ca="1">+IF(S56&gt;0,"ROLLERSHADE","do not use")</f>
        <v>do not use</v>
      </c>
      <c r="U62" s="420"/>
      <c r="V62" s="420"/>
      <c r="W62" s="420"/>
      <c r="X62" s="421"/>
      <c r="Z62" s="422"/>
      <c r="AA62" s="423" t="str">
        <f ca="1">+IF(S56&gt;0,"TUBE SIZE","do not use")</f>
        <v>do not use</v>
      </c>
      <c r="AB62" s="424"/>
      <c r="AC62" s="424"/>
      <c r="AD62" s="502">
        <f ca="1">S56</f>
        <v>0</v>
      </c>
      <c r="AE62" s="503"/>
      <c r="AI62" s="418"/>
      <c r="AJ62" s="419" t="str">
        <f ca="1">+IF(AI56&gt;0,"ROLLERSHADE","do not use")</f>
        <v>do not use</v>
      </c>
      <c r="AK62" s="420"/>
      <c r="AL62" s="420"/>
      <c r="AM62" s="420"/>
      <c r="AN62" s="421"/>
      <c r="AP62" s="422"/>
      <c r="AQ62" s="423" t="str">
        <f ca="1">+IF(AI56&gt;0,"TUBE SIZE","do not use")</f>
        <v>do not use</v>
      </c>
      <c r="AR62" s="424"/>
      <c r="AS62" s="424"/>
      <c r="AT62" s="502">
        <f ca="1">AI56</f>
        <v>0</v>
      </c>
      <c r="AU62" s="503"/>
      <c r="AY62" s="418"/>
      <c r="AZ62" s="419" t="str">
        <f ca="1">+IF(AY56&gt;0,"ROLLERSHADE","do not use")</f>
        <v>do not use</v>
      </c>
      <c r="BA62" s="420"/>
      <c r="BB62" s="420"/>
      <c r="BC62" s="420"/>
      <c r="BD62" s="421"/>
      <c r="BF62" s="422"/>
      <c r="BG62" s="423" t="str">
        <f ca="1">+IF(AY56&gt;0,"TUBE SIZE","do not use")</f>
        <v>do not use</v>
      </c>
      <c r="BH62" s="424"/>
      <c r="BI62" s="424"/>
      <c r="BJ62" s="502">
        <f ca="1">AY56</f>
        <v>0</v>
      </c>
      <c r="BK62" s="503"/>
    </row>
    <row r="106" spans="42:50" x14ac:dyDescent="0.3">
      <c r="AR106" s="372"/>
      <c r="AS106" s="372"/>
      <c r="AW106" s="103"/>
      <c r="AX106" s="103"/>
    </row>
    <row r="107" spans="42:50" x14ac:dyDescent="0.3">
      <c r="AP107" s="372"/>
      <c r="AQ107" s="372"/>
      <c r="AW107" s="103"/>
      <c r="AX107" s="103"/>
    </row>
    <row r="108" spans="42:50" x14ac:dyDescent="0.3">
      <c r="AW108" s="103"/>
      <c r="AX108" s="103"/>
    </row>
    <row r="109" spans="42:50" x14ac:dyDescent="0.3">
      <c r="AW109" s="103"/>
      <c r="AX109" s="103"/>
    </row>
    <row r="110" spans="42:50" x14ac:dyDescent="0.3">
      <c r="AW110" s="103"/>
      <c r="AX110" s="103"/>
    </row>
    <row r="111" spans="42:50" x14ac:dyDescent="0.3">
      <c r="AW111" s="103"/>
      <c r="AX111" s="103"/>
    </row>
    <row r="112" spans="42:50" x14ac:dyDescent="0.3">
      <c r="AW112" s="103"/>
      <c r="AX112" s="103"/>
    </row>
    <row r="113" spans="42:50" x14ac:dyDescent="0.3">
      <c r="AW113" s="103"/>
      <c r="AX113" s="103"/>
    </row>
    <row r="114" spans="42:50" x14ac:dyDescent="0.3">
      <c r="AW114" s="103"/>
      <c r="AX114" s="103"/>
    </row>
    <row r="115" spans="42:50" x14ac:dyDescent="0.3">
      <c r="AW115" s="103"/>
      <c r="AX115" s="103"/>
    </row>
    <row r="116" spans="42:50" x14ac:dyDescent="0.3">
      <c r="AW116" s="103"/>
      <c r="AX116" s="103"/>
    </row>
    <row r="117" spans="42:50" x14ac:dyDescent="0.3">
      <c r="AW117" s="103"/>
      <c r="AX117" s="103"/>
    </row>
    <row r="118" spans="42:50" x14ac:dyDescent="0.3">
      <c r="AW118" s="103"/>
      <c r="AX118" s="103"/>
    </row>
    <row r="119" spans="42:50" x14ac:dyDescent="0.3">
      <c r="AW119" s="103"/>
      <c r="AX119" s="103"/>
    </row>
    <row r="120" spans="42:50" x14ac:dyDescent="0.3">
      <c r="AW120" s="103"/>
      <c r="AX120" s="103"/>
    </row>
    <row r="121" spans="42:50" x14ac:dyDescent="0.3">
      <c r="AW121" s="103"/>
      <c r="AX121" s="103"/>
    </row>
    <row r="122" spans="42:50" x14ac:dyDescent="0.3">
      <c r="AW122" s="103"/>
      <c r="AX122" s="103"/>
    </row>
    <row r="123" spans="42:50" x14ac:dyDescent="0.3">
      <c r="AW123" s="103"/>
      <c r="AX123" s="103"/>
    </row>
    <row r="124" spans="42:50" x14ac:dyDescent="0.3">
      <c r="AW124" s="103"/>
      <c r="AX124" s="103"/>
    </row>
    <row r="125" spans="42:50" x14ac:dyDescent="0.3">
      <c r="AW125" s="103"/>
      <c r="AX125" s="103"/>
    </row>
    <row r="126" spans="42:50" x14ac:dyDescent="0.3">
      <c r="AP126" s="372"/>
      <c r="AQ126" s="372"/>
      <c r="AW126" s="103"/>
      <c r="AX126" s="103"/>
    </row>
  </sheetData>
  <mergeCells count="260">
    <mergeCell ref="AJ4:AM4"/>
    <mergeCell ref="AN4:AN5"/>
    <mergeCell ref="AU4:AU5"/>
    <mergeCell ref="AZ4:BC4"/>
    <mergeCell ref="BD4:BD5"/>
    <mergeCell ref="BK4:BK5"/>
    <mergeCell ref="AJ5:AM5"/>
    <mergeCell ref="AZ5:BC5"/>
    <mergeCell ref="D4:G4"/>
    <mergeCell ref="H4:H5"/>
    <mergeCell ref="O4:O5"/>
    <mergeCell ref="T4:W4"/>
    <mergeCell ref="X4:X5"/>
    <mergeCell ref="AE4:AE5"/>
    <mergeCell ref="D5:G5"/>
    <mergeCell ref="T5:W5"/>
    <mergeCell ref="BC12:BD12"/>
    <mergeCell ref="G13:H13"/>
    <mergeCell ref="W13:X13"/>
    <mergeCell ref="AM13:AN13"/>
    <mergeCell ref="BC13:BD13"/>
    <mergeCell ref="D6:H6"/>
    <mergeCell ref="T6:X6"/>
    <mergeCell ref="AJ6:AN6"/>
    <mergeCell ref="AZ6:BD6"/>
    <mergeCell ref="D9:F9"/>
    <mergeCell ref="T9:V9"/>
    <mergeCell ref="AJ9:AL9"/>
    <mergeCell ref="AZ9:BB9"/>
    <mergeCell ref="BK16:BK17"/>
    <mergeCell ref="D17:G17"/>
    <mergeCell ref="T17:W17"/>
    <mergeCell ref="AJ17:AM17"/>
    <mergeCell ref="AZ17:BC17"/>
    <mergeCell ref="BC10:BD10"/>
    <mergeCell ref="BH10:BK13"/>
    <mergeCell ref="C11:D11"/>
    <mergeCell ref="G11:H11"/>
    <mergeCell ref="S11:T11"/>
    <mergeCell ref="W11:X11"/>
    <mergeCell ref="AI11:AJ11"/>
    <mergeCell ref="AM11:AN11"/>
    <mergeCell ref="AY11:AZ11"/>
    <mergeCell ref="BC11:BD11"/>
    <mergeCell ref="G10:H10"/>
    <mergeCell ref="L10:O13"/>
    <mergeCell ref="W10:X10"/>
    <mergeCell ref="AB10:AE13"/>
    <mergeCell ref="AM10:AN10"/>
    <mergeCell ref="AR10:AU13"/>
    <mergeCell ref="G12:H12"/>
    <mergeCell ref="W12:X12"/>
    <mergeCell ref="AM12:AN12"/>
    <mergeCell ref="D18:H18"/>
    <mergeCell ref="T18:X18"/>
    <mergeCell ref="AJ18:AN18"/>
    <mergeCell ref="AZ18:BD18"/>
    <mergeCell ref="AE16:AE17"/>
    <mergeCell ref="AJ16:AM16"/>
    <mergeCell ref="AN16:AN17"/>
    <mergeCell ref="AU16:AU17"/>
    <mergeCell ref="AZ16:BC16"/>
    <mergeCell ref="BD16:BD17"/>
    <mergeCell ref="D16:G16"/>
    <mergeCell ref="H16:H17"/>
    <mergeCell ref="O16:O17"/>
    <mergeCell ref="T16:W16"/>
    <mergeCell ref="X16:X17"/>
    <mergeCell ref="D21:F21"/>
    <mergeCell ref="T21:V21"/>
    <mergeCell ref="AJ21:AL21"/>
    <mergeCell ref="AZ21:BB21"/>
    <mergeCell ref="G22:H22"/>
    <mergeCell ref="L22:O25"/>
    <mergeCell ref="W22:X22"/>
    <mergeCell ref="AB22:AE25"/>
    <mergeCell ref="AM22:AN22"/>
    <mergeCell ref="AR22:AU25"/>
    <mergeCell ref="BH22:BK25"/>
    <mergeCell ref="C23:D23"/>
    <mergeCell ref="G23:H23"/>
    <mergeCell ref="S23:T23"/>
    <mergeCell ref="W23:X23"/>
    <mergeCell ref="AI23:AJ23"/>
    <mergeCell ref="AM23:AN23"/>
    <mergeCell ref="AY23:AZ23"/>
    <mergeCell ref="BC23:BD23"/>
    <mergeCell ref="G24:H24"/>
    <mergeCell ref="W24:X24"/>
    <mergeCell ref="AM24:AN24"/>
    <mergeCell ref="BC24:BD24"/>
    <mergeCell ref="G25:H25"/>
    <mergeCell ref="W25:X25"/>
    <mergeCell ref="AM25:AN25"/>
    <mergeCell ref="BC25:BD25"/>
    <mergeCell ref="BC22:BD22"/>
    <mergeCell ref="BK28:BK29"/>
    <mergeCell ref="AJ29:AM29"/>
    <mergeCell ref="AZ29:BC29"/>
    <mergeCell ref="D28:G28"/>
    <mergeCell ref="H28:H29"/>
    <mergeCell ref="O28:O29"/>
    <mergeCell ref="T28:W28"/>
    <mergeCell ref="X28:X29"/>
    <mergeCell ref="AE28:AE29"/>
    <mergeCell ref="D29:G29"/>
    <mergeCell ref="T29:W29"/>
    <mergeCell ref="D30:H30"/>
    <mergeCell ref="T30:X30"/>
    <mergeCell ref="AJ30:AN30"/>
    <mergeCell ref="AZ30:BD30"/>
    <mergeCell ref="D33:F33"/>
    <mergeCell ref="T33:V33"/>
    <mergeCell ref="AJ33:AL33"/>
    <mergeCell ref="AZ33:BB33"/>
    <mergeCell ref="AJ28:AM28"/>
    <mergeCell ref="AN28:AN29"/>
    <mergeCell ref="AU28:AU29"/>
    <mergeCell ref="AZ28:BC28"/>
    <mergeCell ref="BD28:BD29"/>
    <mergeCell ref="C35:D35"/>
    <mergeCell ref="G35:H35"/>
    <mergeCell ref="S35:T35"/>
    <mergeCell ref="W35:X35"/>
    <mergeCell ref="AI35:AJ35"/>
    <mergeCell ref="AM35:AN35"/>
    <mergeCell ref="AY35:AZ35"/>
    <mergeCell ref="BC35:BD35"/>
    <mergeCell ref="G34:H34"/>
    <mergeCell ref="L34:O37"/>
    <mergeCell ref="W34:X34"/>
    <mergeCell ref="AB34:AE37"/>
    <mergeCell ref="AM34:AN34"/>
    <mergeCell ref="AR34:AU37"/>
    <mergeCell ref="G36:H36"/>
    <mergeCell ref="W36:X36"/>
    <mergeCell ref="AM36:AN36"/>
    <mergeCell ref="BC36:BD36"/>
    <mergeCell ref="G37:H37"/>
    <mergeCell ref="W37:X37"/>
    <mergeCell ref="AM37:AN37"/>
    <mergeCell ref="BC37:BD37"/>
    <mergeCell ref="D42:H42"/>
    <mergeCell ref="T42:X42"/>
    <mergeCell ref="AJ42:AN42"/>
    <mergeCell ref="AZ42:BD42"/>
    <mergeCell ref="AE40:AE41"/>
    <mergeCell ref="AJ40:AM40"/>
    <mergeCell ref="AN40:AN41"/>
    <mergeCell ref="AU40:AU41"/>
    <mergeCell ref="AZ40:BC40"/>
    <mergeCell ref="BD40:BD41"/>
    <mergeCell ref="D40:G40"/>
    <mergeCell ref="H40:H41"/>
    <mergeCell ref="O40:O41"/>
    <mergeCell ref="T40:W40"/>
    <mergeCell ref="X40:X41"/>
    <mergeCell ref="D41:G41"/>
    <mergeCell ref="T41:W41"/>
    <mergeCell ref="AJ41:AM41"/>
    <mergeCell ref="AZ41:BC41"/>
    <mergeCell ref="D45:F45"/>
    <mergeCell ref="T45:V45"/>
    <mergeCell ref="AJ45:AL45"/>
    <mergeCell ref="AZ45:BB45"/>
    <mergeCell ref="G46:H46"/>
    <mergeCell ref="L46:O49"/>
    <mergeCell ref="W46:X46"/>
    <mergeCell ref="AB46:AE49"/>
    <mergeCell ref="AM46:AN46"/>
    <mergeCell ref="AR46:AU49"/>
    <mergeCell ref="D52:G52"/>
    <mergeCell ref="H52:H53"/>
    <mergeCell ref="O52:O53"/>
    <mergeCell ref="T52:W52"/>
    <mergeCell ref="X52:X53"/>
    <mergeCell ref="AE52:AE53"/>
    <mergeCell ref="D53:G53"/>
    <mergeCell ref="T53:W53"/>
    <mergeCell ref="BH46:BK49"/>
    <mergeCell ref="C47:D47"/>
    <mergeCell ref="G47:H47"/>
    <mergeCell ref="S47:T47"/>
    <mergeCell ref="W47:X47"/>
    <mergeCell ref="AI47:AJ47"/>
    <mergeCell ref="AM47:AN47"/>
    <mergeCell ref="AY47:AZ47"/>
    <mergeCell ref="BC47:BD47"/>
    <mergeCell ref="G48:H48"/>
    <mergeCell ref="W48:X48"/>
    <mergeCell ref="AM48:AN48"/>
    <mergeCell ref="BC48:BD48"/>
    <mergeCell ref="G49:H49"/>
    <mergeCell ref="W49:X49"/>
    <mergeCell ref="AM49:AN49"/>
    <mergeCell ref="C59:D59"/>
    <mergeCell ref="G59:H59"/>
    <mergeCell ref="S59:T59"/>
    <mergeCell ref="W59:X59"/>
    <mergeCell ref="AI59:AJ59"/>
    <mergeCell ref="AM59:AN59"/>
    <mergeCell ref="AY59:AZ59"/>
    <mergeCell ref="BC59:BD59"/>
    <mergeCell ref="G58:H58"/>
    <mergeCell ref="L58:O61"/>
    <mergeCell ref="W58:X58"/>
    <mergeCell ref="AB58:AE61"/>
    <mergeCell ref="AM58:AN58"/>
    <mergeCell ref="AR58:AU61"/>
    <mergeCell ref="G60:H60"/>
    <mergeCell ref="W60:X60"/>
    <mergeCell ref="AM60:AN60"/>
    <mergeCell ref="N14:O14"/>
    <mergeCell ref="N26:O26"/>
    <mergeCell ref="N38:O38"/>
    <mergeCell ref="N50:O50"/>
    <mergeCell ref="N62:O62"/>
    <mergeCell ref="AD14:AE14"/>
    <mergeCell ref="AD38:AE38"/>
    <mergeCell ref="BC60:BD60"/>
    <mergeCell ref="G61:H61"/>
    <mergeCell ref="W61:X61"/>
    <mergeCell ref="AM61:AN61"/>
    <mergeCell ref="BC61:BD61"/>
    <mergeCell ref="BC58:BD58"/>
    <mergeCell ref="D54:H54"/>
    <mergeCell ref="T54:X54"/>
    <mergeCell ref="AJ54:AN54"/>
    <mergeCell ref="AZ54:BD54"/>
    <mergeCell ref="D57:F57"/>
    <mergeCell ref="T57:V57"/>
    <mergeCell ref="AJ57:AL57"/>
    <mergeCell ref="AZ57:BB57"/>
    <mergeCell ref="AJ52:AM52"/>
    <mergeCell ref="AN52:AN53"/>
    <mergeCell ref="AU52:AU53"/>
    <mergeCell ref="AT38:AU38"/>
    <mergeCell ref="BJ38:BK38"/>
    <mergeCell ref="AD26:AE26"/>
    <mergeCell ref="AD50:AE50"/>
    <mergeCell ref="AD62:AE62"/>
    <mergeCell ref="AT14:AU14"/>
    <mergeCell ref="AT26:AU26"/>
    <mergeCell ref="AT50:AU50"/>
    <mergeCell ref="AT62:AU62"/>
    <mergeCell ref="BJ62:BK62"/>
    <mergeCell ref="BJ50:BK50"/>
    <mergeCell ref="BJ26:BK26"/>
    <mergeCell ref="BJ14:BK14"/>
    <mergeCell ref="BH58:BK61"/>
    <mergeCell ref="AZ52:BC52"/>
    <mergeCell ref="BD52:BD53"/>
    <mergeCell ref="BK52:BK53"/>
    <mergeCell ref="AJ53:AM53"/>
    <mergeCell ref="AZ53:BC53"/>
    <mergeCell ref="BC49:BD49"/>
    <mergeCell ref="BC46:BD46"/>
    <mergeCell ref="BK40:BK41"/>
    <mergeCell ref="BC34:BD34"/>
    <mergeCell ref="BH34:BK37"/>
  </mergeCells>
  <pageMargins left="0.35" right="0.25" top="0.5" bottom="0.25" header="0.5" footer="0.25"/>
  <pageSetup scale="48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5:AU38"/>
  <sheetViews>
    <sheetView showGridLines="0" showZeros="0" view="pageBreakPreview" zoomScaleNormal="100" workbookViewId="0">
      <selection activeCell="V33" sqref="V33"/>
    </sheetView>
  </sheetViews>
  <sheetFormatPr defaultColWidth="8.875" defaultRowHeight="12.45" x14ac:dyDescent="0.2"/>
  <cols>
    <col min="1" max="1" width="17" customWidth="1"/>
    <col min="2" max="3" width="14" style="6" customWidth="1"/>
    <col min="4" max="4" width="8.25" customWidth="1"/>
    <col min="5" max="5" width="10.375" style="6" customWidth="1"/>
    <col min="6" max="7" width="8.75" style="6" customWidth="1"/>
    <col min="8" max="8" width="15.875" customWidth="1"/>
    <col min="9" max="9" width="4" style="6" customWidth="1"/>
    <col min="10" max="10" width="10.375" customWidth="1"/>
    <col min="11" max="11" width="7" style="4" customWidth="1"/>
    <col min="12" max="12" width="6.375" customWidth="1"/>
    <col min="13" max="13" width="7" customWidth="1"/>
    <col min="14" max="14" width="7.625" customWidth="1"/>
    <col min="15" max="15" width="8.75" customWidth="1"/>
  </cols>
  <sheetData>
    <row r="5" spans="1:47" x14ac:dyDescent="0.2">
      <c r="E5" s="6">
        <v>0</v>
      </c>
    </row>
    <row r="6" spans="1:47" x14ac:dyDescent="0.2">
      <c r="AO6" s="1" t="s">
        <v>69</v>
      </c>
      <c r="AU6" s="1" t="s">
        <v>73</v>
      </c>
    </row>
    <row r="7" spans="1:47" ht="17.7" x14ac:dyDescent="0.3">
      <c r="C7" s="54"/>
      <c r="I7" s="54"/>
      <c r="R7" s="337" t="s">
        <v>826</v>
      </c>
      <c r="AO7" s="2" t="s">
        <v>72</v>
      </c>
      <c r="AU7" s="2" t="s">
        <v>71</v>
      </c>
    </row>
    <row r="8" spans="1:47" ht="30.15" x14ac:dyDescent="0.45">
      <c r="F8" s="86" t="s">
        <v>75</v>
      </c>
      <c r="G8" s="86"/>
      <c r="R8" s="133"/>
      <c r="AO8" s="1" t="s">
        <v>70</v>
      </c>
      <c r="AU8" s="1"/>
    </row>
    <row r="10" spans="1:47" x14ac:dyDescent="0.2">
      <c r="H10" s="93" t="s">
        <v>77</v>
      </c>
    </row>
    <row r="11" spans="1:47" ht="18.350000000000001" thickBot="1" x14ac:dyDescent="0.35">
      <c r="F11" s="235" t="str">
        <f>jobname</f>
        <v>Pago Pago Temple Endowment Change Order</v>
      </c>
      <c r="G11" s="235"/>
      <c r="H11" s="87"/>
      <c r="I11" s="88"/>
      <c r="J11" s="5"/>
      <c r="K11" s="88" t="str">
        <f>+jobname</f>
        <v>Pago Pago Temple Endowment Change Order</v>
      </c>
    </row>
    <row r="12" spans="1:47" ht="13.75" thickBot="1" x14ac:dyDescent="0.3">
      <c r="H12" s="56"/>
      <c r="K12" s="320" t="s">
        <v>76</v>
      </c>
      <c r="L12" s="144"/>
      <c r="M12" s="323" t="s">
        <v>820</v>
      </c>
    </row>
    <row r="13" spans="1:47" ht="14.75" customHeight="1" x14ac:dyDescent="0.25">
      <c r="B13" s="219" t="s">
        <v>208</v>
      </c>
      <c r="C13" s="221" t="s">
        <v>210</v>
      </c>
      <c r="D13" s="142" t="s">
        <v>200</v>
      </c>
      <c r="E13" s="142" t="s">
        <v>238</v>
      </c>
      <c r="F13" s="529" t="s">
        <v>823</v>
      </c>
      <c r="G13" s="530"/>
      <c r="H13" s="325"/>
      <c r="I13" s="326"/>
      <c r="J13" s="261"/>
      <c r="K13" s="332" t="s">
        <v>19</v>
      </c>
      <c r="L13" s="330" t="s">
        <v>745</v>
      </c>
      <c r="M13" s="328" t="s">
        <v>76</v>
      </c>
      <c r="N13" s="221" t="s">
        <v>76</v>
      </c>
      <c r="O13" s="221" t="s">
        <v>17</v>
      </c>
    </row>
    <row r="14" spans="1:47" ht="16.399999999999999" customHeight="1" thickBot="1" x14ac:dyDescent="0.3">
      <c r="B14" s="220" t="s">
        <v>209</v>
      </c>
      <c r="C14" s="222" t="s">
        <v>209</v>
      </c>
      <c r="D14" s="324" t="s">
        <v>23</v>
      </c>
      <c r="E14" s="143" t="s">
        <v>3</v>
      </c>
      <c r="F14" s="531"/>
      <c r="G14" s="532"/>
      <c r="H14" s="327" t="s">
        <v>2</v>
      </c>
      <c r="I14" s="324" t="s">
        <v>12</v>
      </c>
      <c r="J14" s="329" t="s">
        <v>212</v>
      </c>
      <c r="K14" s="321" t="s">
        <v>3</v>
      </c>
      <c r="L14" s="331" t="s">
        <v>189</v>
      </c>
      <c r="M14" s="322" t="s">
        <v>821</v>
      </c>
      <c r="N14" s="324" t="s">
        <v>13</v>
      </c>
      <c r="O14" s="324" t="s">
        <v>13</v>
      </c>
    </row>
    <row r="15" spans="1:47" x14ac:dyDescent="0.2">
      <c r="A15" t="s">
        <v>30</v>
      </c>
      <c r="B15" s="6">
        <f>Worksheet!$AE$2</f>
        <v>30894</v>
      </c>
      <c r="C15" s="6" t="str">
        <f>+IF(I15&gt;0,Worksheet!$B15," ")</f>
        <v>A1</v>
      </c>
      <c r="D15" s="352">
        <f ca="1">IF(I15&gt;0,Tickets!C13," ")</f>
        <v>44.375</v>
      </c>
      <c r="E15" s="353">
        <f ca="1">IF(I15&gt;0,$D15-1.375," ")</f>
        <v>43</v>
      </c>
      <c r="F15" s="354" t="str">
        <f>IF(Worksheet!$M15="M","Motor",IF(AND(Worksheet!$M15="C",Worksheet!$N15="M"),"F Coupler",IF(Worksheet!$M15="C","Coupler",IF(Worksheet!$M15="I","Idler"," "))))</f>
        <v>Motor</v>
      </c>
      <c r="G15" s="354" t="str">
        <f>IF(Worksheet!$N15="M","Motor",IF(AND(Worksheet!$N15="C",Worksheet!$M15="M"),"F Coupler",IF(Worksheet!$N15="C","Coupler",IF(Worksheet!$N15="I","Idler"," "))))</f>
        <v>Idler</v>
      </c>
      <c r="H15" s="355">
        <f>+Worksheet!$C15</f>
        <v>134</v>
      </c>
      <c r="I15" s="356">
        <f>+Worksheet!$D15</f>
        <v>1</v>
      </c>
      <c r="J15" s="352" t="str">
        <f>Worksheet!$E15</f>
        <v>Tube 2.375</v>
      </c>
      <c r="K15" s="357" t="str">
        <f>IF(Worksheet!$K15&gt;0,Worksheet!$F15," ")</f>
        <v xml:space="preserve"> </v>
      </c>
      <c r="L15" s="358" t="str">
        <f>+Worksheet!$R15</f>
        <v>RTS</v>
      </c>
      <c r="M15" s="358" t="str">
        <f>IF(Worksheet!K15&gt;0,IF(Worksheet!$S15="Yes","Yes","Regular")," ")</f>
        <v xml:space="preserve"> </v>
      </c>
      <c r="N15" s="355">
        <f>+Worksheet!$K15</f>
        <v>0</v>
      </c>
      <c r="O15" s="296" t="str">
        <f>+Worksheet!$L15</f>
        <v>Sealed</v>
      </c>
    </row>
    <row r="16" spans="1:47" x14ac:dyDescent="0.2">
      <c r="A16" t="s">
        <v>31</v>
      </c>
      <c r="B16" s="6">
        <f>Worksheet!$AE$2</f>
        <v>30894</v>
      </c>
      <c r="C16" s="6" t="str">
        <f>+IF(I16&gt;0,Worksheet!$B16," ")</f>
        <v>A2</v>
      </c>
      <c r="D16" s="352">
        <f ca="1">IF(I16&gt;0,Tickets!C25," ")</f>
        <v>44.5</v>
      </c>
      <c r="E16" s="353">
        <f t="shared" ref="E16:E34" ca="1" si="0">IF(I16&gt;0,$D16-1.375," ")</f>
        <v>43.125</v>
      </c>
      <c r="F16" s="354" t="str">
        <f>IF(Worksheet!$M16="M","Motor",IF(AND(Worksheet!$M16="C",Worksheet!$N16="M"),"F Coupler",IF(Worksheet!$M16="C","Coupler",IF(Worksheet!$M16="I","Idler"," "))))</f>
        <v>Motor</v>
      </c>
      <c r="G16" s="354" t="str">
        <f>IF(Worksheet!$N16="M","Motor",IF(AND(Worksheet!$N16="C",Worksheet!$M16="M"),"F Coupler",IF(Worksheet!$N16="C","Coupler",IF(Worksheet!$N16="I","Idler"," "))))</f>
        <v>Idler</v>
      </c>
      <c r="H16" s="359">
        <f>+Worksheet!$C16</f>
        <v>134</v>
      </c>
      <c r="I16" s="76">
        <f>+Worksheet!$D16</f>
        <v>1</v>
      </c>
      <c r="J16" s="353" t="str">
        <f>Worksheet!$E16</f>
        <v>Tube 2.375</v>
      </c>
      <c r="K16" s="357" t="str">
        <f>IF(Worksheet!$K16&gt;0,Worksheet!$F16," ")</f>
        <v xml:space="preserve"> </v>
      </c>
      <c r="L16" s="358" t="str">
        <f>+Worksheet!$R16</f>
        <v>RTS</v>
      </c>
      <c r="M16" s="358" t="str">
        <f>IF(Worksheet!K16&gt;0,IF(Worksheet!$S16="Yes","Yes","Regular")," ")</f>
        <v xml:space="preserve"> </v>
      </c>
      <c r="N16" s="359">
        <f>+Worksheet!$K16</f>
        <v>0</v>
      </c>
      <c r="O16" s="298" t="str">
        <f>+Worksheet!$L16</f>
        <v>Sealed</v>
      </c>
    </row>
    <row r="17" spans="1:15" x14ac:dyDescent="0.2">
      <c r="A17" t="s">
        <v>32</v>
      </c>
      <c r="B17" s="6">
        <f>Worksheet!$AE$2</f>
        <v>30894</v>
      </c>
      <c r="C17" s="6" t="str">
        <f>+IF(I17&gt;0,Worksheet!$B17," ")</f>
        <v>A3</v>
      </c>
      <c r="D17" s="352">
        <f ca="1">IF(I17&gt;0,Tickets!C37," ")</f>
        <v>34</v>
      </c>
      <c r="E17" s="353">
        <f t="shared" ca="1" si="0"/>
        <v>32.625</v>
      </c>
      <c r="F17" s="354" t="str">
        <f>IF(Worksheet!$M17="M","Motor",IF(AND(Worksheet!$M17="C",Worksheet!$N17="M"),"F Coupler",IF(Worksheet!$M17="C","Coupler",IF(Worksheet!$M17="I","Idler"," "))))</f>
        <v>Motor</v>
      </c>
      <c r="G17" s="354" t="str">
        <f>IF(Worksheet!$N17="M","Motor",IF(AND(Worksheet!$N17="C",Worksheet!$M17="M"),"F Coupler",IF(Worksheet!$N17="C","Coupler",IF(Worksheet!$N17="I","Idler"," "))))</f>
        <v>Idler</v>
      </c>
      <c r="H17" s="359">
        <f>+Worksheet!$C17</f>
        <v>135</v>
      </c>
      <c r="I17" s="76">
        <f>+Worksheet!$D17</f>
        <v>1</v>
      </c>
      <c r="J17" s="353" t="str">
        <f>Worksheet!$E17</f>
        <v>Tube 2.375</v>
      </c>
      <c r="K17" s="357" t="str">
        <f>IF(Worksheet!$K17&gt;0,Worksheet!$F17," ")</f>
        <v xml:space="preserve"> </v>
      </c>
      <c r="L17" s="358" t="str">
        <f>+Worksheet!$R17</f>
        <v>RTS</v>
      </c>
      <c r="M17" s="358" t="str">
        <f>IF(Worksheet!K17&gt;0,IF(Worksheet!$S17="Yes","Yes","Regular")," ")</f>
        <v xml:space="preserve"> </v>
      </c>
      <c r="N17" s="359">
        <f>+Worksheet!$K17</f>
        <v>0</v>
      </c>
      <c r="O17" s="298" t="str">
        <f>+Worksheet!$L17</f>
        <v>Sealed</v>
      </c>
    </row>
    <row r="18" spans="1:15" x14ac:dyDescent="0.2">
      <c r="A18" t="s">
        <v>29</v>
      </c>
      <c r="B18" s="6">
        <f>Worksheet!$AE$2</f>
        <v>30894</v>
      </c>
      <c r="C18" s="6" t="str">
        <f>+IF(I18&gt;0,Worksheet!$B18," ")</f>
        <v>A4</v>
      </c>
      <c r="D18" s="352">
        <f ca="1">IF(I18&gt;0,Tickets!C49," ")</f>
        <v>34</v>
      </c>
      <c r="E18" s="353">
        <f t="shared" ca="1" si="0"/>
        <v>32.625</v>
      </c>
      <c r="F18" s="354" t="str">
        <f>IF(Worksheet!$M18="M","Motor",IF(AND(Worksheet!$M18="C",Worksheet!$N18="M"),"F Coupler",IF(Worksheet!$M18="C","Coupler",IF(Worksheet!$M18="I","Idler"," "))))</f>
        <v>Motor</v>
      </c>
      <c r="G18" s="354" t="str">
        <f>IF(Worksheet!$N18="M","Motor",IF(AND(Worksheet!$N18="C",Worksheet!$M18="M"),"F Coupler",IF(Worksheet!$N18="C","Coupler",IF(Worksheet!$N18="I","Idler"," "))))</f>
        <v>Idler</v>
      </c>
      <c r="H18" s="359">
        <f>+Worksheet!$C18</f>
        <v>139</v>
      </c>
      <c r="I18" s="76">
        <f>+Worksheet!$D18</f>
        <v>1</v>
      </c>
      <c r="J18" s="353" t="str">
        <f>Worksheet!$E18</f>
        <v>Tube 2.375</v>
      </c>
      <c r="K18" s="357" t="str">
        <f>IF(Worksheet!$K18&gt;0,Worksheet!$F18," ")</f>
        <v xml:space="preserve"> </v>
      </c>
      <c r="L18" s="358" t="str">
        <f>+Worksheet!$R18</f>
        <v>RTS</v>
      </c>
      <c r="M18" s="358" t="str">
        <f>IF(Worksheet!K18&gt;0,IF(Worksheet!$S18="Yes","Yes","Regular")," ")</f>
        <v xml:space="preserve"> </v>
      </c>
      <c r="N18" s="359">
        <f>+Worksheet!$K18</f>
        <v>0</v>
      </c>
      <c r="O18" s="298" t="str">
        <f>+Worksheet!$L18</f>
        <v>Sealed</v>
      </c>
    </row>
    <row r="19" spans="1:15" x14ac:dyDescent="0.2">
      <c r="A19" t="s">
        <v>33</v>
      </c>
      <c r="B19" s="6">
        <f>Worksheet!$AE$2</f>
        <v>30894</v>
      </c>
      <c r="C19" s="6" t="str">
        <f>+IF(I19&gt;0,Worksheet!$B19," ")</f>
        <v>A5</v>
      </c>
      <c r="D19" s="352">
        <f ca="1">IF(I19&gt;0,Tickets!C61," ")</f>
        <v>44.375</v>
      </c>
      <c r="E19" s="353">
        <f t="shared" ca="1" si="0"/>
        <v>43</v>
      </c>
      <c r="F19" s="354" t="str">
        <f>IF(Worksheet!$M19="M","Motor",IF(AND(Worksheet!$M19="C",Worksheet!$N19="M"),"F Coupler",IF(Worksheet!$M19="C","Coupler",IF(Worksheet!$M19="I","Idler"," "))))</f>
        <v>Motor</v>
      </c>
      <c r="G19" s="354" t="str">
        <f>IF(Worksheet!$N19="M","Motor",IF(AND(Worksheet!$N19="C",Worksheet!$M19="M"),"F Coupler",IF(Worksheet!$N19="C","Coupler",IF(Worksheet!$N19="I","Idler"," "))))</f>
        <v>Idler</v>
      </c>
      <c r="H19" s="359">
        <f>+Worksheet!$C19</f>
        <v>140</v>
      </c>
      <c r="I19" s="76">
        <f>+Worksheet!$D19</f>
        <v>1</v>
      </c>
      <c r="J19" s="353" t="str">
        <f>Worksheet!$E19</f>
        <v>Tube 2.375</v>
      </c>
      <c r="K19" s="357" t="str">
        <f>IF(Worksheet!$K19&gt;0,Worksheet!$F19," ")</f>
        <v xml:space="preserve"> </v>
      </c>
      <c r="L19" s="358" t="str">
        <f>+Worksheet!$R19</f>
        <v>RTS</v>
      </c>
      <c r="M19" s="358" t="str">
        <f>IF(Worksheet!K19&gt;0,IF(Worksheet!$S19="Yes","Yes","Regular")," ")</f>
        <v xml:space="preserve"> </v>
      </c>
      <c r="N19" s="359">
        <f>+Worksheet!$K19</f>
        <v>0</v>
      </c>
      <c r="O19" s="298" t="str">
        <f>+Worksheet!$L19</f>
        <v>Sealed</v>
      </c>
    </row>
    <row r="20" spans="1:15" x14ac:dyDescent="0.2">
      <c r="A20" t="s">
        <v>34</v>
      </c>
      <c r="B20" s="6">
        <f>Worksheet!$AE$2</f>
        <v>30894</v>
      </c>
      <c r="C20" s="6" t="str">
        <f>+IF(I20&gt;0,Worksheet!$B20," ")</f>
        <v>A6</v>
      </c>
      <c r="D20" s="352">
        <f ca="1">IF(I20&gt;0,Tickets!S13," ")</f>
        <v>44.25</v>
      </c>
      <c r="E20" s="353">
        <f t="shared" ca="1" si="0"/>
        <v>42.875</v>
      </c>
      <c r="F20" s="354" t="str">
        <f>IF(Worksheet!$M20="M","Motor",IF(AND(Worksheet!$M20="C",Worksheet!$N20="M"),"F Coupler",IF(Worksheet!$M20="C","Coupler",IF(Worksheet!$M20="I","Idler"," "))))</f>
        <v>Motor</v>
      </c>
      <c r="G20" s="354" t="str">
        <f>IF(Worksheet!$N20="M","Motor",IF(AND(Worksheet!$N20="C",Worksheet!$M20="M"),"F Coupler",IF(Worksheet!$N20="C","Coupler",IF(Worksheet!$N20="I","Idler"," "))))</f>
        <v>Idler</v>
      </c>
      <c r="H20" s="359">
        <f>+Worksheet!$C20</f>
        <v>140</v>
      </c>
      <c r="I20" s="76">
        <f>+Worksheet!$D20</f>
        <v>1</v>
      </c>
      <c r="J20" s="353" t="str">
        <f>Worksheet!$E20</f>
        <v>Tube 2.375</v>
      </c>
      <c r="K20" s="357" t="str">
        <f>IF(Worksheet!$K20&gt;0,Worksheet!$F20," ")</f>
        <v xml:space="preserve"> </v>
      </c>
      <c r="L20" s="358" t="str">
        <f>+Worksheet!$R20</f>
        <v>RTS</v>
      </c>
      <c r="M20" s="358" t="str">
        <f>IF(Worksheet!K20&gt;0,IF(Worksheet!$S20="Yes","Yes","Regular")," ")</f>
        <v xml:space="preserve"> </v>
      </c>
      <c r="N20" s="359">
        <f>+Worksheet!$K20</f>
        <v>0</v>
      </c>
      <c r="O20" s="298" t="str">
        <f>+Worksheet!$L20</f>
        <v>Sealed</v>
      </c>
    </row>
    <row r="21" spans="1:15" x14ac:dyDescent="0.2">
      <c r="A21" t="s">
        <v>35</v>
      </c>
      <c r="B21" s="6">
        <f>Worksheet!$AE$2</f>
        <v>30894</v>
      </c>
      <c r="C21" s="6" t="str">
        <f>+IF(I21&gt;0,Worksheet!$B21," ")</f>
        <v xml:space="preserve"> </v>
      </c>
      <c r="D21" s="352" t="str">
        <f>IF(I21&gt;0,Tickets!S25," ")</f>
        <v xml:space="preserve"> </v>
      </c>
      <c r="E21" s="353" t="str">
        <f t="shared" si="0"/>
        <v xml:space="preserve"> </v>
      </c>
      <c r="F21" s="354" t="str">
        <f>IF(Worksheet!$M21="M","Motor",IF(AND(Worksheet!$M21="C",Worksheet!$N21="M"),"F Coupler",IF(Worksheet!$M21="C","Coupler",IF(Worksheet!$M21="I","Idler"," "))))</f>
        <v xml:space="preserve"> </v>
      </c>
      <c r="G21" s="354" t="str">
        <f>IF(Worksheet!$N21="M","Motor",IF(AND(Worksheet!$N21="C",Worksheet!$M21="M"),"F Coupler",IF(Worksheet!$N21="C","Coupler",IF(Worksheet!$N21="I","Idler"," "))))</f>
        <v xml:space="preserve"> </v>
      </c>
      <c r="H21" s="359">
        <f>+Worksheet!$C21</f>
        <v>0</v>
      </c>
      <c r="I21" s="76">
        <f>+Worksheet!$D21</f>
        <v>0</v>
      </c>
      <c r="J21" s="353">
        <f>Worksheet!$E21</f>
        <v>0</v>
      </c>
      <c r="K21" s="357" t="str">
        <f>IF(Worksheet!$K21&gt;0,Worksheet!$F21," ")</f>
        <v xml:space="preserve"> </v>
      </c>
      <c r="L21" s="358">
        <f>+Worksheet!$R21</f>
        <v>0</v>
      </c>
      <c r="M21" s="358" t="str">
        <f>IF(Worksheet!K21&gt;0,IF(Worksheet!$S21="Yes","Yes","Regular")," ")</f>
        <v xml:space="preserve"> </v>
      </c>
      <c r="N21" s="359">
        <f>+Worksheet!$K21</f>
        <v>0</v>
      </c>
      <c r="O21" s="298" t="str">
        <f>+Worksheet!$L21</f>
        <v>Sealed</v>
      </c>
    </row>
    <row r="22" spans="1:15" x14ac:dyDescent="0.2">
      <c r="A22" t="s">
        <v>36</v>
      </c>
      <c r="B22" s="6">
        <f>Worksheet!$AE$2</f>
        <v>30894</v>
      </c>
      <c r="C22" s="6" t="str">
        <f>+IF(I22&gt;0,Worksheet!$B22," ")</f>
        <v xml:space="preserve"> </v>
      </c>
      <c r="D22" s="352" t="str">
        <f>IF(I22&gt;0,Tickets!S37," ")</f>
        <v xml:space="preserve"> </v>
      </c>
      <c r="E22" s="353" t="str">
        <f t="shared" si="0"/>
        <v xml:space="preserve"> </v>
      </c>
      <c r="F22" s="354" t="str">
        <f>IF(Worksheet!$M22="M","Motor",IF(AND(Worksheet!$M22="C",Worksheet!$N22="M"),"F Coupler",IF(Worksheet!$M22="C","Coupler",IF(Worksheet!$M22="I","Idler"," "))))</f>
        <v xml:space="preserve"> </v>
      </c>
      <c r="G22" s="354" t="str">
        <f>IF(Worksheet!$N22="M","Motor",IF(AND(Worksheet!$N22="C",Worksheet!$M22="M"),"F Coupler",IF(Worksheet!$N22="C","Coupler",IF(Worksheet!$N22="I","Idler"," "))))</f>
        <v xml:space="preserve"> </v>
      </c>
      <c r="H22" s="359">
        <f>+Worksheet!$C22</f>
        <v>0</v>
      </c>
      <c r="I22" s="76">
        <f>+Worksheet!$D22</f>
        <v>0</v>
      </c>
      <c r="J22" s="353">
        <f>Worksheet!$E22</f>
        <v>0</v>
      </c>
      <c r="K22" s="357" t="str">
        <f>IF(Worksheet!$K22&gt;0,Worksheet!$F22," ")</f>
        <v xml:space="preserve"> </v>
      </c>
      <c r="L22" s="358">
        <f>+Worksheet!$R22</f>
        <v>0</v>
      </c>
      <c r="M22" s="358" t="str">
        <f>IF(Worksheet!K22&gt;0,IF(Worksheet!$S22="Yes","Yes","Regular")," ")</f>
        <v xml:space="preserve"> </v>
      </c>
      <c r="N22" s="359">
        <f>+Worksheet!$K22</f>
        <v>0</v>
      </c>
      <c r="O22" s="298" t="str">
        <f>+Worksheet!$L22</f>
        <v>Sealed</v>
      </c>
    </row>
    <row r="23" spans="1:15" x14ac:dyDescent="0.2">
      <c r="A23" t="s">
        <v>37</v>
      </c>
      <c r="B23" s="6">
        <f>Worksheet!$AE$2</f>
        <v>30894</v>
      </c>
      <c r="C23" s="6" t="str">
        <f>+IF(I23&gt;0,Worksheet!$B23," ")</f>
        <v xml:space="preserve"> </v>
      </c>
      <c r="D23" s="352" t="str">
        <f>IF(I23&gt;0,Tickets!S49," ")</f>
        <v xml:space="preserve"> </v>
      </c>
      <c r="E23" s="353" t="str">
        <f t="shared" si="0"/>
        <v xml:space="preserve"> </v>
      </c>
      <c r="F23" s="354" t="str">
        <f>IF(Worksheet!$M23="M","Motor",IF(AND(Worksheet!$M23="C",Worksheet!$N23="M"),"F Coupler",IF(Worksheet!$M23="C","Coupler",IF(Worksheet!$M23="I","Idler"," "))))</f>
        <v xml:space="preserve"> </v>
      </c>
      <c r="G23" s="354" t="str">
        <f>IF(Worksheet!$N23="M","Motor",IF(AND(Worksheet!$N23="C",Worksheet!$M23="M"),"F Coupler",IF(Worksheet!$N23="C","Coupler",IF(Worksheet!$N23="I","Idler"," "))))</f>
        <v xml:space="preserve"> </v>
      </c>
      <c r="H23" s="359">
        <f>+Worksheet!$C23</f>
        <v>0</v>
      </c>
      <c r="I23" s="76">
        <f>+Worksheet!$D23</f>
        <v>0</v>
      </c>
      <c r="J23" s="353">
        <f>Worksheet!$E23</f>
        <v>0</v>
      </c>
      <c r="K23" s="357" t="str">
        <f>IF(Worksheet!$K23&gt;0,Worksheet!$F23," ")</f>
        <v xml:space="preserve"> </v>
      </c>
      <c r="L23" s="358">
        <f>+Worksheet!$R23</f>
        <v>0</v>
      </c>
      <c r="M23" s="358" t="str">
        <f>IF(Worksheet!K23&gt;0,IF(Worksheet!$S23="Yes","Yes","Regular")," ")</f>
        <v xml:space="preserve"> </v>
      </c>
      <c r="N23" s="359">
        <f>+Worksheet!$K23</f>
        <v>0</v>
      </c>
      <c r="O23" s="298" t="str">
        <f>+Worksheet!$L23</f>
        <v>Sealed</v>
      </c>
    </row>
    <row r="24" spans="1:15" x14ac:dyDescent="0.2">
      <c r="A24" t="s">
        <v>38</v>
      </c>
      <c r="B24" s="6">
        <f>Worksheet!$AE$2</f>
        <v>30894</v>
      </c>
      <c r="C24" s="6" t="str">
        <f>+IF(I24&gt;0,Worksheet!$B24," ")</f>
        <v xml:space="preserve"> </v>
      </c>
      <c r="D24" s="352" t="str">
        <f>IF(I24&gt;0,Tickets!S61," ")</f>
        <v xml:space="preserve"> </v>
      </c>
      <c r="E24" s="353" t="str">
        <f t="shared" si="0"/>
        <v xml:space="preserve"> </v>
      </c>
      <c r="F24" s="354" t="str">
        <f>IF(Worksheet!$M24="M","Motor",IF(AND(Worksheet!$M24="C",Worksheet!$N24="M"),"F Coupler",IF(Worksheet!$M24="C","Coupler",IF(Worksheet!$M24="I","Idler"," "))))</f>
        <v xml:space="preserve"> </v>
      </c>
      <c r="G24" s="354" t="str">
        <f>IF(Worksheet!$N24="M","Motor",IF(AND(Worksheet!$N24="C",Worksheet!$M24="M"),"F Coupler",IF(Worksheet!$N24="C","Coupler",IF(Worksheet!$N24="I","Idler"," "))))</f>
        <v xml:space="preserve"> </v>
      </c>
      <c r="H24" s="359">
        <f>+Worksheet!$C24</f>
        <v>0</v>
      </c>
      <c r="I24" s="76">
        <f>+Worksheet!$D24</f>
        <v>0</v>
      </c>
      <c r="J24" s="353">
        <f>Worksheet!$E24</f>
        <v>0</v>
      </c>
      <c r="K24" s="357" t="str">
        <f>IF(Worksheet!$K24&gt;0,Worksheet!$F24," ")</f>
        <v xml:space="preserve"> </v>
      </c>
      <c r="L24" s="358">
        <f>+Worksheet!$R24</f>
        <v>0</v>
      </c>
      <c r="M24" s="358" t="str">
        <f>IF(Worksheet!K24&gt;0,IF(Worksheet!$S24="Yes","Yes","Regular")," ")</f>
        <v xml:space="preserve"> </v>
      </c>
      <c r="N24" s="359">
        <f>+Worksheet!$K24</f>
        <v>0</v>
      </c>
      <c r="O24" s="298" t="str">
        <f>+Worksheet!$L24</f>
        <v>Sealed</v>
      </c>
    </row>
    <row r="25" spans="1:15" x14ac:dyDescent="0.2">
      <c r="A25" t="s">
        <v>39</v>
      </c>
      <c r="B25" s="6">
        <f>Worksheet!$AE$2</f>
        <v>30894</v>
      </c>
      <c r="C25" s="6" t="str">
        <f>+IF(I25&gt;0,Worksheet!$B25," ")</f>
        <v xml:space="preserve"> </v>
      </c>
      <c r="D25" s="352" t="str">
        <f>IF(I25&gt;0,Tickets!AI13," ")</f>
        <v xml:space="preserve"> </v>
      </c>
      <c r="E25" s="353" t="str">
        <f t="shared" si="0"/>
        <v xml:space="preserve"> </v>
      </c>
      <c r="F25" s="354" t="str">
        <f>IF(Worksheet!$M25="M","Motor",IF(AND(Worksheet!$M25="C",Worksheet!$N25="M"),"F Coupler",IF(Worksheet!$M25="C","Coupler",IF(Worksheet!$M25="I","Idler"," "))))</f>
        <v xml:space="preserve"> </v>
      </c>
      <c r="G25" s="354" t="str">
        <f>IF(Worksheet!$N25="M","Motor",IF(AND(Worksheet!$N25="C",Worksheet!$M25="M"),"F Coupler",IF(Worksheet!$N25="C","Coupler",IF(Worksheet!$N25="I","Idler"," "))))</f>
        <v xml:space="preserve"> </v>
      </c>
      <c r="H25" s="359">
        <f>+Worksheet!$C25</f>
        <v>0</v>
      </c>
      <c r="I25" s="76">
        <f>+Worksheet!$D25</f>
        <v>0</v>
      </c>
      <c r="J25" s="353">
        <f>Worksheet!$E25</f>
        <v>0</v>
      </c>
      <c r="K25" s="357" t="str">
        <f>IF(Worksheet!$K25&gt;0,Worksheet!$F25," ")</f>
        <v xml:space="preserve"> </v>
      </c>
      <c r="L25" s="358">
        <f>+Worksheet!$R25</f>
        <v>0</v>
      </c>
      <c r="M25" s="358" t="str">
        <f>IF(Worksheet!K25&gt;0,IF(Worksheet!$S25="Yes","Yes","Regular")," ")</f>
        <v xml:space="preserve"> </v>
      </c>
      <c r="N25" s="359">
        <f>+Worksheet!$K25</f>
        <v>0</v>
      </c>
      <c r="O25" s="298" t="str">
        <f>+Worksheet!$L25</f>
        <v>Sealed</v>
      </c>
    </row>
    <row r="26" spans="1:15" x14ac:dyDescent="0.2">
      <c r="A26" t="s">
        <v>40</v>
      </c>
      <c r="B26" s="6">
        <f>Worksheet!$AE$2</f>
        <v>30894</v>
      </c>
      <c r="C26" s="6" t="str">
        <f>+IF(I26&gt;0,Worksheet!$B26," ")</f>
        <v xml:space="preserve"> </v>
      </c>
      <c r="D26" s="352" t="str">
        <f>IF(I26&gt;0,Tickets!AI25," ")</f>
        <v xml:space="preserve"> </v>
      </c>
      <c r="E26" s="353" t="str">
        <f t="shared" si="0"/>
        <v xml:space="preserve"> </v>
      </c>
      <c r="F26" s="354" t="str">
        <f>IF(Worksheet!$M26="M","Motor",IF(AND(Worksheet!$M26="C",Worksheet!$N26="M"),"F Coupler",IF(Worksheet!$M26="C","Coupler",IF(Worksheet!$M26="I","Idler"," "))))</f>
        <v xml:space="preserve"> </v>
      </c>
      <c r="G26" s="354" t="str">
        <f>IF(Worksheet!$N26="M","Motor",IF(AND(Worksheet!$N26="C",Worksheet!$M26="M"),"F Coupler",IF(Worksheet!$N26="C","Coupler",IF(Worksheet!$N26="I","Idler"," "))))</f>
        <v xml:space="preserve"> </v>
      </c>
      <c r="H26" s="359">
        <f>+Worksheet!$C26</f>
        <v>0</v>
      </c>
      <c r="I26" s="76">
        <f>+Worksheet!$D26</f>
        <v>0</v>
      </c>
      <c r="J26" s="353">
        <f>Worksheet!$E26</f>
        <v>0</v>
      </c>
      <c r="K26" s="357" t="str">
        <f>IF(Worksheet!$K26&gt;0,Worksheet!$F26," ")</f>
        <v xml:space="preserve"> </v>
      </c>
      <c r="L26" s="358">
        <f>+Worksheet!$R26</f>
        <v>0</v>
      </c>
      <c r="M26" s="358" t="str">
        <f>IF(Worksheet!K26&gt;0,IF(Worksheet!$S26="Yes","Yes","Regular")," ")</f>
        <v xml:space="preserve"> </v>
      </c>
      <c r="N26" s="359">
        <f>+Worksheet!$K26</f>
        <v>0</v>
      </c>
      <c r="O26" s="298" t="str">
        <f>+Worksheet!$L26</f>
        <v>Sealed</v>
      </c>
    </row>
    <row r="27" spans="1:15" x14ac:dyDescent="0.2">
      <c r="A27" t="s">
        <v>41</v>
      </c>
      <c r="B27" s="6">
        <f>Worksheet!$AE$2</f>
        <v>30894</v>
      </c>
      <c r="C27" s="6" t="str">
        <f>+IF(I27&gt;0,Worksheet!$B27," ")</f>
        <v xml:space="preserve"> </v>
      </c>
      <c r="D27" s="352" t="str">
        <f>IF(I27&gt;0,Tickets!AI37," ")</f>
        <v xml:space="preserve"> </v>
      </c>
      <c r="E27" s="353" t="str">
        <f t="shared" si="0"/>
        <v xml:space="preserve"> </v>
      </c>
      <c r="F27" s="354" t="str">
        <f>IF(Worksheet!$M27="M","Motor",IF(AND(Worksheet!$M27="C",Worksheet!$N27="M"),"F Coupler",IF(Worksheet!$M27="C","Coupler",IF(Worksheet!$M27="I","Idler"," "))))</f>
        <v xml:space="preserve"> </v>
      </c>
      <c r="G27" s="354" t="str">
        <f>IF(Worksheet!$N27="M","Motor",IF(AND(Worksheet!$N27="C",Worksheet!$M27="M"),"F Coupler",IF(Worksheet!$N27="C","Coupler",IF(Worksheet!$N27="I","Idler"," "))))</f>
        <v xml:space="preserve"> </v>
      </c>
      <c r="H27" s="359">
        <f>+Worksheet!$C27</f>
        <v>0</v>
      </c>
      <c r="I27" s="76">
        <f>+Worksheet!$D27</f>
        <v>0</v>
      </c>
      <c r="J27" s="353">
        <f>Worksheet!$E27</f>
        <v>0</v>
      </c>
      <c r="K27" s="357" t="str">
        <f>IF(Worksheet!$K27&gt;0,Worksheet!$F27," ")</f>
        <v xml:space="preserve"> </v>
      </c>
      <c r="L27" s="358">
        <f>+Worksheet!$R27</f>
        <v>0</v>
      </c>
      <c r="M27" s="358" t="str">
        <f>IF(Worksheet!K27&gt;0,IF(Worksheet!$S27="Yes","Yes","Regular")," ")</f>
        <v xml:space="preserve"> </v>
      </c>
      <c r="N27" s="359">
        <f>+Worksheet!$K27</f>
        <v>0</v>
      </c>
      <c r="O27" s="298" t="str">
        <f>+Worksheet!$L27</f>
        <v>Sealed</v>
      </c>
    </row>
    <row r="28" spans="1:15" x14ac:dyDescent="0.2">
      <c r="A28" t="s">
        <v>42</v>
      </c>
      <c r="B28" s="6">
        <f>Worksheet!$AE$2</f>
        <v>30894</v>
      </c>
      <c r="C28" s="6" t="str">
        <f>+IF(I28&gt;0,Worksheet!$B28," ")</f>
        <v xml:space="preserve"> </v>
      </c>
      <c r="D28" s="352" t="str">
        <f>IF(I28&gt;0,Tickets!AI49," ")</f>
        <v xml:space="preserve"> </v>
      </c>
      <c r="E28" s="353" t="str">
        <f t="shared" si="0"/>
        <v xml:space="preserve"> </v>
      </c>
      <c r="F28" s="354" t="str">
        <f>IF(Worksheet!$M28="M","Motor",IF(AND(Worksheet!$M28="C",Worksheet!$N28="M"),"F Coupler",IF(Worksheet!$M28="C","Coupler",IF(Worksheet!$M28="I","Idler"," "))))</f>
        <v xml:space="preserve"> </v>
      </c>
      <c r="G28" s="354" t="str">
        <f>IF(Worksheet!$N28="M","Motor",IF(AND(Worksheet!$N28="C",Worksheet!$M28="M"),"F Coupler",IF(Worksheet!$N28="C","Coupler",IF(Worksheet!$N28="I","Idler"," "))))</f>
        <v xml:space="preserve"> </v>
      </c>
      <c r="H28" s="359">
        <f>+Worksheet!$C28</f>
        <v>0</v>
      </c>
      <c r="I28" s="76">
        <f>+Worksheet!$D28</f>
        <v>0</v>
      </c>
      <c r="J28" s="353">
        <f>Worksheet!$E28</f>
        <v>0</v>
      </c>
      <c r="K28" s="357" t="str">
        <f>IF(Worksheet!$K28&gt;0,Worksheet!$F28," ")</f>
        <v xml:space="preserve"> </v>
      </c>
      <c r="L28" s="358">
        <f>+Worksheet!$R28</f>
        <v>0</v>
      </c>
      <c r="M28" s="358" t="str">
        <f>IF(Worksheet!K28&gt;0,IF(Worksheet!$S28="Yes","Yes","Regular")," ")</f>
        <v xml:space="preserve"> </v>
      </c>
      <c r="N28" s="359">
        <f>+Worksheet!$K28</f>
        <v>0</v>
      </c>
      <c r="O28" s="298" t="str">
        <f>+Worksheet!$L28</f>
        <v>Sealed</v>
      </c>
    </row>
    <row r="29" spans="1:15" x14ac:dyDescent="0.2">
      <c r="A29" t="s">
        <v>43</v>
      </c>
      <c r="B29" s="6">
        <f>Worksheet!$AE$2</f>
        <v>30894</v>
      </c>
      <c r="C29" s="6" t="str">
        <f>+IF(I29&gt;0,Worksheet!$B29," ")</f>
        <v xml:space="preserve"> </v>
      </c>
      <c r="D29" s="352" t="str">
        <f>IF(I29&gt;0,Tickets!AI61," ")</f>
        <v xml:space="preserve"> </v>
      </c>
      <c r="E29" s="353" t="str">
        <f t="shared" si="0"/>
        <v xml:space="preserve"> </v>
      </c>
      <c r="F29" s="354" t="str">
        <f>IF(Worksheet!$M29="M","Motor",IF(AND(Worksheet!$M29="C",Worksheet!$N29="M"),"F Coupler",IF(Worksheet!$M29="C","Coupler",IF(Worksheet!$M29="I","Idler"," "))))</f>
        <v xml:space="preserve"> </v>
      </c>
      <c r="G29" s="354" t="str">
        <f>IF(Worksheet!$N29="M","Motor",IF(AND(Worksheet!$N29="C",Worksheet!$M29="M"),"F Coupler",IF(Worksheet!$N29="C","Coupler",IF(Worksheet!$N29="I","Idler"," "))))</f>
        <v xml:space="preserve"> </v>
      </c>
      <c r="H29" s="359">
        <f>+Worksheet!$C29</f>
        <v>0</v>
      </c>
      <c r="I29" s="76">
        <f>+Worksheet!$D29</f>
        <v>0</v>
      </c>
      <c r="J29" s="353">
        <f>Worksheet!$E29</f>
        <v>0</v>
      </c>
      <c r="K29" s="357" t="str">
        <f>IF(Worksheet!$K29&gt;0,Worksheet!$F29," ")</f>
        <v xml:space="preserve"> </v>
      </c>
      <c r="L29" s="358">
        <f>+Worksheet!$R29</f>
        <v>0</v>
      </c>
      <c r="M29" s="358" t="str">
        <f>IF(Worksheet!K29&gt;0,IF(Worksheet!$S29="Yes","Yes","Regular")," ")</f>
        <v xml:space="preserve"> </v>
      </c>
      <c r="N29" s="359">
        <f>+Worksheet!$K29</f>
        <v>0</v>
      </c>
      <c r="O29" s="298" t="str">
        <f>+Worksheet!$L29</f>
        <v>Sealed</v>
      </c>
    </row>
    <row r="30" spans="1:15" x14ac:dyDescent="0.2">
      <c r="A30" t="s">
        <v>44</v>
      </c>
      <c r="B30" s="6">
        <f>Worksheet!$AE$2</f>
        <v>30894</v>
      </c>
      <c r="C30" s="6" t="str">
        <f>+IF(I30&gt;0,Worksheet!$B30," ")</f>
        <v xml:space="preserve"> </v>
      </c>
      <c r="D30" s="352" t="str">
        <f>IF(I30&gt;0,Tickets!AY13," ")</f>
        <v xml:space="preserve"> </v>
      </c>
      <c r="E30" s="353" t="str">
        <f t="shared" si="0"/>
        <v xml:space="preserve"> </v>
      </c>
      <c r="F30" s="354" t="str">
        <f>IF(Worksheet!$M30="M","Motor",IF(AND(Worksheet!$M30="C",Worksheet!$N30="M"),"F Coupler",IF(Worksheet!$M30="C","Coupler",IF(Worksheet!$M30="I","Idler"," "))))</f>
        <v xml:space="preserve"> </v>
      </c>
      <c r="G30" s="354" t="str">
        <f>IF(Worksheet!$N30="M","Motor",IF(AND(Worksheet!$N30="C",Worksheet!$M30="M"),"F Coupler",IF(Worksheet!$N30="C","Coupler",IF(Worksheet!$N30="I","Idler"," "))))</f>
        <v xml:space="preserve"> </v>
      </c>
      <c r="H30" s="359">
        <f>+Worksheet!$C30</f>
        <v>0</v>
      </c>
      <c r="I30" s="76">
        <f>+Worksheet!$D30</f>
        <v>0</v>
      </c>
      <c r="J30" s="353">
        <f>Worksheet!$E30</f>
        <v>0</v>
      </c>
      <c r="K30" s="357" t="str">
        <f>IF(Worksheet!$K30&gt;0,Worksheet!$F30," ")</f>
        <v xml:space="preserve"> </v>
      </c>
      <c r="L30" s="358">
        <f>+Worksheet!$R30</f>
        <v>0</v>
      </c>
      <c r="M30" s="358" t="str">
        <f>IF(Worksheet!K30&gt;0,IF(Worksheet!$S30="Yes","Yes","Regular")," ")</f>
        <v xml:space="preserve"> </v>
      </c>
      <c r="N30" s="359">
        <f>+Worksheet!$K30</f>
        <v>0</v>
      </c>
      <c r="O30" s="298" t="str">
        <f>+Worksheet!$L30</f>
        <v>Sealed</v>
      </c>
    </row>
    <row r="31" spans="1:15" x14ac:dyDescent="0.2">
      <c r="A31" t="s">
        <v>45</v>
      </c>
      <c r="B31" s="6">
        <f>Worksheet!$AE$2</f>
        <v>30894</v>
      </c>
      <c r="C31" s="6" t="str">
        <f>+IF(I31&gt;0,Worksheet!$B31," ")</f>
        <v xml:space="preserve"> </v>
      </c>
      <c r="D31" s="352" t="str">
        <f>IF(I31&gt;0,Tickets!AY25," ")</f>
        <v xml:space="preserve"> </v>
      </c>
      <c r="E31" s="353" t="str">
        <f t="shared" si="0"/>
        <v xml:space="preserve"> </v>
      </c>
      <c r="F31" s="354" t="str">
        <f>IF(Worksheet!$M31="M","Motor",IF(AND(Worksheet!$M31="C",Worksheet!$N31="M"),"F Coupler",IF(Worksheet!$M31="C","Coupler",IF(Worksheet!$M31="I","Idler"," "))))</f>
        <v xml:space="preserve"> </v>
      </c>
      <c r="G31" s="354" t="str">
        <f>IF(Worksheet!$N31="M","Motor",IF(AND(Worksheet!$N31="C",Worksheet!$M31="M"),"F Coupler",IF(Worksheet!$N31="C","Coupler",IF(Worksheet!$N31="I","Idler"," "))))</f>
        <v xml:space="preserve"> </v>
      </c>
      <c r="H31" s="359">
        <f>+Worksheet!$C31</f>
        <v>0</v>
      </c>
      <c r="I31" s="76">
        <f>+Worksheet!$D31</f>
        <v>0</v>
      </c>
      <c r="J31" s="353">
        <f>Worksheet!$E31</f>
        <v>0</v>
      </c>
      <c r="K31" s="357" t="str">
        <f>IF(Worksheet!$K31&gt;0,Worksheet!$F31," ")</f>
        <v xml:space="preserve"> </v>
      </c>
      <c r="L31" s="358">
        <f>+Worksheet!$R31</f>
        <v>0</v>
      </c>
      <c r="M31" s="358" t="str">
        <f>IF(Worksheet!K31&gt;0,IF(Worksheet!$S31="Yes","Yes","Regular")," ")</f>
        <v xml:space="preserve"> </v>
      </c>
      <c r="N31" s="359">
        <f>+Worksheet!$K31</f>
        <v>0</v>
      </c>
      <c r="O31" s="298" t="str">
        <f>+Worksheet!$L31</f>
        <v>Sealed</v>
      </c>
    </row>
    <row r="32" spans="1:15" x14ac:dyDescent="0.2">
      <c r="A32" t="s">
        <v>46</v>
      </c>
      <c r="B32" s="6">
        <f>Worksheet!$AE$2</f>
        <v>30894</v>
      </c>
      <c r="C32" s="6" t="str">
        <f>+IF(I32&gt;0,Worksheet!$B32," ")</f>
        <v xml:space="preserve"> </v>
      </c>
      <c r="D32" s="352" t="str">
        <f>IF(I32&gt;0,Tickets!AY37," ")</f>
        <v xml:space="preserve"> </v>
      </c>
      <c r="E32" s="353" t="str">
        <f t="shared" si="0"/>
        <v xml:space="preserve"> </v>
      </c>
      <c r="F32" s="354" t="str">
        <f>IF(Worksheet!$M32="M","Motor",IF(AND(Worksheet!$M32="C",Worksheet!$N32="M"),"F Coupler",IF(Worksheet!$M32="C","Coupler",IF(Worksheet!$M32="I","Idler"," "))))</f>
        <v xml:space="preserve"> </v>
      </c>
      <c r="G32" s="354" t="str">
        <f>IF(Worksheet!$N32="M","Motor",IF(AND(Worksheet!$N32="C",Worksheet!$M32="M"),"F Coupler",IF(Worksheet!$N32="C","Coupler",IF(Worksheet!$N32="I","Idler"," "))))</f>
        <v xml:space="preserve"> </v>
      </c>
      <c r="H32" s="359">
        <f>+Worksheet!$C32</f>
        <v>0</v>
      </c>
      <c r="I32" s="76">
        <f>+Worksheet!$D32</f>
        <v>0</v>
      </c>
      <c r="J32" s="353">
        <f>Worksheet!$E32</f>
        <v>0</v>
      </c>
      <c r="K32" s="357" t="str">
        <f>IF(Worksheet!$K32&gt;0,Worksheet!$F32," ")</f>
        <v xml:space="preserve"> </v>
      </c>
      <c r="L32" s="358">
        <f>+Worksheet!$R32</f>
        <v>0</v>
      </c>
      <c r="M32" s="358" t="str">
        <f>IF(Worksheet!K32&gt;0,IF(Worksheet!$S32="Yes","Yes","Regular")," ")</f>
        <v xml:space="preserve"> </v>
      </c>
      <c r="N32" s="359">
        <f>+Worksheet!$K32</f>
        <v>0</v>
      </c>
      <c r="O32" s="298" t="str">
        <f>+Worksheet!$L32</f>
        <v>Sealed</v>
      </c>
    </row>
    <row r="33" spans="1:15" x14ac:dyDescent="0.2">
      <c r="A33" t="s">
        <v>47</v>
      </c>
      <c r="B33" s="6">
        <f>Worksheet!$AE$2</f>
        <v>30894</v>
      </c>
      <c r="C33" s="6" t="str">
        <f>+IF(I33&gt;0,Worksheet!$B33," ")</f>
        <v xml:space="preserve"> </v>
      </c>
      <c r="D33" s="352" t="str">
        <f>IF(I33&gt;0,Tickets!AY49," ")</f>
        <v xml:space="preserve"> </v>
      </c>
      <c r="E33" s="353" t="str">
        <f t="shared" si="0"/>
        <v xml:space="preserve"> </v>
      </c>
      <c r="F33" s="354" t="str">
        <f>IF(Worksheet!$M33="M","Motor",IF(AND(Worksheet!$M33="C",Worksheet!$N33="M"),"F Coupler",IF(Worksheet!$M33="C","Coupler",IF(Worksheet!$M33="I","Idler"," "))))</f>
        <v xml:space="preserve"> </v>
      </c>
      <c r="G33" s="354" t="str">
        <f>IF(Worksheet!$N33="M","Motor",IF(AND(Worksheet!$N33="C",Worksheet!$M33="M"),"F Coupler",IF(Worksheet!$N33="C","Coupler",IF(Worksheet!$N33="I","Idler"," "))))</f>
        <v xml:space="preserve"> </v>
      </c>
      <c r="H33" s="359">
        <f>+Worksheet!$C33</f>
        <v>0</v>
      </c>
      <c r="I33" s="76">
        <f>+Worksheet!$D33</f>
        <v>0</v>
      </c>
      <c r="J33" s="353">
        <f>Worksheet!$E33</f>
        <v>0</v>
      </c>
      <c r="K33" s="357" t="str">
        <f>IF(Worksheet!$K33&gt;0,Worksheet!$F33," ")</f>
        <v xml:space="preserve"> </v>
      </c>
      <c r="L33" s="358">
        <f>+Worksheet!$R33</f>
        <v>0</v>
      </c>
      <c r="M33" s="358" t="str">
        <f>IF(Worksheet!K33&gt;0,IF(Worksheet!$S33="Yes","Yes","Regular")," ")</f>
        <v xml:space="preserve"> </v>
      </c>
      <c r="N33" s="359">
        <f>+Worksheet!$K33</f>
        <v>0</v>
      </c>
      <c r="O33" s="298" t="str">
        <f>+Worksheet!$L33</f>
        <v>Sealed</v>
      </c>
    </row>
    <row r="34" spans="1:15" x14ac:dyDescent="0.2">
      <c r="A34" t="s">
        <v>48</v>
      </c>
      <c r="B34" s="6">
        <f>Worksheet!$AE$2</f>
        <v>30894</v>
      </c>
      <c r="C34" s="6" t="str">
        <f>+IF(I34&gt;0,Worksheet!$B34," ")</f>
        <v xml:space="preserve"> </v>
      </c>
      <c r="D34" s="352" t="str">
        <f>IF(I34&gt;0,Tickets!AY61," ")</f>
        <v xml:space="preserve"> </v>
      </c>
      <c r="E34" s="353" t="str">
        <f t="shared" si="0"/>
        <v xml:space="preserve"> </v>
      </c>
      <c r="F34" s="354" t="str">
        <f>IF(Worksheet!$M34="M","Motor",IF(AND(Worksheet!$M34="C",Worksheet!$N34="M"),"F Coupler",IF(Worksheet!$M34="C","Coupler",IF(Worksheet!$M34="I","Idler"," "))))</f>
        <v xml:space="preserve"> </v>
      </c>
      <c r="G34" s="354" t="str">
        <f>IF(Worksheet!$N34="M","Motor",IF(AND(Worksheet!$N34="C",Worksheet!$M34="M"),"F Coupler",IF(Worksheet!$N34="C","Coupler",IF(Worksheet!$N34="I","Idler"," "))))</f>
        <v xml:space="preserve"> </v>
      </c>
      <c r="H34" s="359">
        <f>+Worksheet!$C34</f>
        <v>0</v>
      </c>
      <c r="I34" s="76">
        <f>+Worksheet!$D34</f>
        <v>0</v>
      </c>
      <c r="J34" s="353">
        <f>Worksheet!$E34</f>
        <v>0</v>
      </c>
      <c r="K34" s="357" t="str">
        <f>IF(Worksheet!$K34&gt;0,Worksheet!$F34," ")</f>
        <v xml:space="preserve"> </v>
      </c>
      <c r="L34" s="358">
        <f>+Worksheet!$R34</f>
        <v>0</v>
      </c>
      <c r="M34" s="358" t="str">
        <f>IF(Worksheet!K34&gt;0,IF(Worksheet!$S34="Yes","Yes","Regular")," ")</f>
        <v xml:space="preserve"> </v>
      </c>
      <c r="N34" s="359">
        <f>+Worksheet!$K34</f>
        <v>0</v>
      </c>
      <c r="O34" s="298" t="str">
        <f>+Worksheet!$L34</f>
        <v>Sealed</v>
      </c>
    </row>
    <row r="35" spans="1:15" s="7" customFormat="1" ht="15.05" x14ac:dyDescent="0.25">
      <c r="B35" s="78"/>
      <c r="C35" s="78"/>
      <c r="E35" s="78"/>
      <c r="F35" s="78"/>
      <c r="G35" s="78"/>
      <c r="I35" s="78">
        <f>SUM(I15:I34)</f>
        <v>6</v>
      </c>
      <c r="J35" s="7" t="s">
        <v>8</v>
      </c>
      <c r="K35" s="79"/>
    </row>
    <row r="36" spans="1:15" ht="23.6" x14ac:dyDescent="0.4">
      <c r="C36" s="363" t="s">
        <v>1378</v>
      </c>
      <c r="D36" s="83">
        <f>Worksheet!Q5</f>
        <v>1</v>
      </c>
      <c r="H36" s="73" t="s">
        <v>199</v>
      </c>
    </row>
    <row r="37" spans="1:15" ht="20.45" customHeight="1" x14ac:dyDescent="0.2">
      <c r="H37" s="133" t="s">
        <v>1375</v>
      </c>
      <c r="J37" s="1"/>
      <c r="K37" s="102"/>
      <c r="L37" s="6"/>
      <c r="M37" s="223" t="s">
        <v>1373</v>
      </c>
      <c r="O37" s="1"/>
    </row>
    <row r="38" spans="1:15" ht="24.05" customHeight="1" x14ac:dyDescent="0.2">
      <c r="H38" s="101" t="s">
        <v>198</v>
      </c>
      <c r="J38" s="1"/>
      <c r="K38" s="102"/>
      <c r="L38" s="6"/>
      <c r="M38" s="223" t="s">
        <v>1374</v>
      </c>
      <c r="O38" s="1"/>
    </row>
  </sheetData>
  <mergeCells count="1">
    <mergeCell ref="F13:G14"/>
  </mergeCells>
  <phoneticPr fontId="5" type="noConversion"/>
  <pageMargins left="0.28000000000000003" right="0.31" top="0.75" bottom="0.5" header="0.5" footer="0.5"/>
  <pageSetup scale="90" orientation="landscape" horizontalDpi="4294967292" r:id="rId1"/>
  <headerFooter alignWithMargins="0">
    <oddHeader>&amp;Z&amp;F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C5192-E378-46FB-A960-F864A1DAA671}">
  <dimension ref="A1:V52"/>
  <sheetViews>
    <sheetView showGridLines="0" view="pageBreakPreview" zoomScaleNormal="100" workbookViewId="0">
      <selection activeCell="S2" sqref="S2:T2"/>
    </sheetView>
  </sheetViews>
  <sheetFormatPr defaultColWidth="8.875" defaultRowHeight="12.45" x14ac:dyDescent="0.2"/>
  <cols>
    <col min="2" max="2" width="5.25" style="50" customWidth="1"/>
    <col min="3" max="3" width="12.25" customWidth="1"/>
    <col min="4" max="4" width="3.125" style="6" customWidth="1"/>
    <col min="5" max="5" width="9.625" customWidth="1"/>
    <col min="6" max="6" width="7" style="4" customWidth="1"/>
    <col min="7" max="7" width="2.125" style="6" customWidth="1"/>
    <col min="8" max="8" width="7" style="4" customWidth="1"/>
    <col min="9" max="9" width="3.375" customWidth="1"/>
    <col min="10" max="10" width="4.125" customWidth="1"/>
    <col min="11" max="11" width="6.625" customWidth="1"/>
    <col min="12" max="12" width="6.75" customWidth="1"/>
    <col min="13" max="14" width="4.375" customWidth="1"/>
    <col min="15" max="15" width="23.25" customWidth="1"/>
    <col min="16" max="16" width="28.375" customWidth="1"/>
    <col min="17" max="17" width="3.25" customWidth="1"/>
    <col min="18" max="18" width="6.75" customWidth="1"/>
    <col min="19" max="19" width="8.125" customWidth="1"/>
    <col min="20" max="20" width="5.375" customWidth="1"/>
  </cols>
  <sheetData>
    <row r="1" spans="1:22" ht="7.55" customHeight="1" x14ac:dyDescent="0.2"/>
    <row r="2" spans="1:22" ht="25.55" x14ac:dyDescent="0.4">
      <c r="K2" s="228" t="s">
        <v>240</v>
      </c>
      <c r="P2" s="89">
        <f ca="1">TODAY()</f>
        <v>45813</v>
      </c>
      <c r="Q2" s="136"/>
      <c r="R2" s="58" t="s">
        <v>1407</v>
      </c>
      <c r="S2" s="549">
        <f>IF(Worksheet!AE2&gt;0,Worksheet!AE2," ")</f>
        <v>30894</v>
      </c>
      <c r="T2" s="550" t="str">
        <f>IF(Worksheet!T2&gt;0,Worksheet!T2," ")</f>
        <v xml:space="preserve"> </v>
      </c>
    </row>
    <row r="3" spans="1:22" ht="14.25" customHeight="1" x14ac:dyDescent="0.2">
      <c r="B3" s="52"/>
      <c r="K3" s="450" t="str">
        <f>IF(Worksheet!K3&gt;0,Worksheet!K3," ")</f>
        <v>*Final Measurements*</v>
      </c>
      <c r="Q3" s="136"/>
    </row>
    <row r="4" spans="1:22" ht="11.95" customHeight="1" x14ac:dyDescent="0.2">
      <c r="D4" s="54"/>
      <c r="P4" s="55"/>
      <c r="Q4" s="137"/>
      <c r="R4" s="55"/>
      <c r="S4" s="55"/>
      <c r="T4" s="55"/>
    </row>
    <row r="5" spans="1:22" x14ac:dyDescent="0.2">
      <c r="C5" s="56"/>
      <c r="D5" s="451"/>
      <c r="E5" s="451"/>
      <c r="F5" s="451"/>
      <c r="G5" s="451"/>
      <c r="H5" s="451"/>
      <c r="K5" s="56" t="s">
        <v>1</v>
      </c>
      <c r="L5" s="479" t="str">
        <f>IF(Worksheet!L5&gt;0,Worksheet!L5," ")</f>
        <v>Pago Pago Temple Endowment Change Order</v>
      </c>
      <c r="M5" s="479" t="str">
        <f>IF(Worksheet!M5&gt;0,Worksheet!M5," ")</f>
        <v xml:space="preserve"> </v>
      </c>
      <c r="N5" s="479" t="str">
        <f>IF(Worksheet!N5&gt;0,Worksheet!N5," ")</f>
        <v xml:space="preserve"> </v>
      </c>
      <c r="O5" s="479" t="str">
        <f>IF(Worksheet!O5&gt;0,Worksheet!O5," ")</f>
        <v xml:space="preserve"> </v>
      </c>
      <c r="P5" s="229" t="s">
        <v>203</v>
      </c>
      <c r="Q5" s="450">
        <f>IF(Worksheet!Q5&gt;0,Worksheet!Q5," ")</f>
        <v>1</v>
      </c>
      <c r="R5" s="139"/>
      <c r="S5" s="57"/>
      <c r="T5" s="57"/>
    </row>
    <row r="6" spans="1:22" x14ac:dyDescent="0.2">
      <c r="C6" s="454"/>
      <c r="D6" s="455"/>
      <c r="E6" s="455"/>
      <c r="F6" s="456"/>
      <c r="G6" s="451"/>
      <c r="H6" s="451"/>
      <c r="L6" s="478"/>
      <c r="M6" s="478"/>
      <c r="N6" s="478"/>
      <c r="O6" s="478"/>
      <c r="P6" s="139"/>
      <c r="Q6" s="138"/>
      <c r="R6" s="138"/>
    </row>
    <row r="7" spans="1:22" ht="13.1" x14ac:dyDescent="0.25">
      <c r="C7" s="457" t="s">
        <v>1404</v>
      </c>
      <c r="D7" s="458"/>
      <c r="E7" s="458"/>
      <c r="F7" s="456"/>
      <c r="G7" s="451"/>
      <c r="H7" s="451"/>
      <c r="L7" s="541"/>
      <c r="M7" s="541"/>
      <c r="N7" s="541"/>
      <c r="O7" s="541"/>
      <c r="P7" s="341" t="s">
        <v>834</v>
      </c>
      <c r="Q7" s="542" t="s">
        <v>77</v>
      </c>
      <c r="R7" s="474"/>
      <c r="S7" s="475"/>
    </row>
    <row r="8" spans="1:22" ht="12.8" customHeight="1" x14ac:dyDescent="0.2">
      <c r="C8" s="456"/>
      <c r="D8" s="456"/>
      <c r="E8" s="456"/>
      <c r="F8" s="456"/>
      <c r="G8" s="50"/>
      <c r="H8" s="50"/>
      <c r="I8" s="540" t="s">
        <v>1406</v>
      </c>
      <c r="J8" s="540"/>
      <c r="K8" s="540"/>
      <c r="L8" s="540"/>
      <c r="M8" s="540"/>
      <c r="N8" s="540"/>
      <c r="O8" s="540"/>
      <c r="P8" s="139"/>
      <c r="Q8" s="138"/>
      <c r="R8" s="138"/>
    </row>
    <row r="9" spans="1:22" ht="12.8" customHeight="1" x14ac:dyDescent="0.2">
      <c r="C9" s="455"/>
      <c r="D9" s="455"/>
      <c r="E9" s="455"/>
      <c r="F9" s="458"/>
      <c r="G9" s="451"/>
      <c r="H9" s="451"/>
      <c r="I9" s="540"/>
      <c r="J9" s="540"/>
      <c r="K9" s="540"/>
      <c r="L9" s="540"/>
      <c r="M9" s="540"/>
      <c r="N9" s="540"/>
      <c r="O9" s="540"/>
      <c r="P9" s="139"/>
      <c r="Q9" s="139">
        <v>1</v>
      </c>
      <c r="R9" s="139"/>
      <c r="S9" s="57"/>
      <c r="T9" s="57"/>
    </row>
    <row r="10" spans="1:22" ht="12.8" customHeight="1" x14ac:dyDescent="0.2">
      <c r="C10" s="457" t="s">
        <v>1405</v>
      </c>
      <c r="D10" s="456"/>
      <c r="E10" s="456"/>
      <c r="F10" s="456"/>
      <c r="G10" s="451"/>
      <c r="H10" s="451"/>
      <c r="I10" s="540"/>
      <c r="J10" s="540"/>
      <c r="K10" s="540"/>
      <c r="L10" s="540"/>
      <c r="M10" s="540"/>
      <c r="N10" s="540"/>
      <c r="O10" s="540"/>
      <c r="P10" s="139"/>
      <c r="Q10" s="138"/>
      <c r="R10" s="138"/>
    </row>
    <row r="11" spans="1:22" ht="12.8" customHeight="1" x14ac:dyDescent="0.2">
      <c r="C11" s="93"/>
      <c r="D11" s="452"/>
      <c r="E11" s="452"/>
      <c r="F11" s="452"/>
      <c r="G11" s="452"/>
      <c r="H11" s="452"/>
      <c r="I11" s="540"/>
      <c r="J11" s="540"/>
      <c r="K11" s="540"/>
      <c r="L11" s="540"/>
      <c r="M11" s="540"/>
      <c r="N11" s="540"/>
      <c r="O11" s="540"/>
      <c r="P11" s="139"/>
      <c r="Q11" s="138"/>
      <c r="R11" s="138"/>
    </row>
    <row r="12" spans="1:22" ht="18.350000000000001" customHeight="1" x14ac:dyDescent="0.25">
      <c r="C12" s="56"/>
      <c r="D12" s="453"/>
      <c r="E12" s="453"/>
      <c r="F12" s="453"/>
      <c r="G12" s="453"/>
      <c r="H12" s="453"/>
      <c r="I12" s="56"/>
      <c r="K12" s="56"/>
      <c r="L12" s="541"/>
      <c r="M12" s="541"/>
      <c r="N12" s="541"/>
      <c r="O12" s="541"/>
      <c r="P12" s="138"/>
      <c r="Q12" s="140" t="b">
        <v>1</v>
      </c>
      <c r="R12" s="140"/>
      <c r="S12" s="71"/>
      <c r="T12" s="71"/>
    </row>
    <row r="13" spans="1:22" ht="24.75" customHeight="1" x14ac:dyDescent="0.2">
      <c r="P13" s="138"/>
      <c r="Q13" s="141"/>
      <c r="R13" s="141"/>
      <c r="S13" s="123"/>
      <c r="T13" s="123"/>
    </row>
    <row r="14" spans="1:22" s="237" customFormat="1" ht="55.5" customHeight="1" x14ac:dyDescent="0.25">
      <c r="C14" s="239" t="s">
        <v>2</v>
      </c>
      <c r="D14" s="238" t="s">
        <v>12</v>
      </c>
      <c r="E14" s="239" t="s">
        <v>212</v>
      </c>
      <c r="F14" s="240" t="s">
        <v>19</v>
      </c>
      <c r="G14" s="239"/>
      <c r="H14" s="334" t="s">
        <v>25</v>
      </c>
      <c r="I14" s="244" t="s">
        <v>752</v>
      </c>
      <c r="J14" s="290" t="s">
        <v>753</v>
      </c>
      <c r="K14" s="244" t="s">
        <v>754</v>
      </c>
      <c r="L14" s="291" t="s">
        <v>755</v>
      </c>
      <c r="M14" s="290" t="s">
        <v>756</v>
      </c>
      <c r="N14" s="290" t="s">
        <v>757</v>
      </c>
      <c r="O14" s="239" t="s">
        <v>758</v>
      </c>
      <c r="P14" s="311" t="s">
        <v>202</v>
      </c>
      <c r="Q14" s="309" t="s">
        <v>759</v>
      </c>
      <c r="R14" s="310" t="s">
        <v>782</v>
      </c>
      <c r="S14" s="315" t="s">
        <v>818</v>
      </c>
      <c r="T14" s="317"/>
      <c r="U14" s="252"/>
      <c r="V14" s="252"/>
    </row>
    <row r="15" spans="1:22" ht="14.1" customHeight="1" x14ac:dyDescent="0.2">
      <c r="A15" t="s">
        <v>30</v>
      </c>
      <c r="B15" s="50" t="str">
        <f>HLOOKUP($Q$5,'Data Sheet'!$B$2:$BA$23,2,FALSE)</f>
        <v>A1</v>
      </c>
      <c r="C15" s="450">
        <f>IF(Worksheet!C15&gt;0,Worksheet!C15," ")</f>
        <v>134</v>
      </c>
      <c r="D15" s="450">
        <f>IF(Worksheet!D15&gt;0,Worksheet!D15," ")</f>
        <v>1</v>
      </c>
      <c r="E15" s="450" t="str">
        <f>IF(Worksheet!E15&gt;0,Worksheet!E15," ")</f>
        <v>Tube 2.375</v>
      </c>
      <c r="F15" s="450">
        <f>IF(Worksheet!F15&gt;0,Worksheet!F15," ")</f>
        <v>46.375</v>
      </c>
      <c r="G15" s="450" t="str">
        <f>IF(Worksheet!G15&gt;0,Worksheet!G15," ")</f>
        <v>X</v>
      </c>
      <c r="H15" s="450">
        <f>IF(Worksheet!H15&gt;0,Worksheet!H15," ")</f>
        <v>141</v>
      </c>
      <c r="I15" s="450" t="str">
        <f>IF(Worksheet!I15&gt;0,Worksheet!I15," ")</f>
        <v>IB</v>
      </c>
      <c r="J15" s="450" t="str">
        <f>IF(Worksheet!J15&gt;0,Worksheet!J15," ")</f>
        <v>Yes</v>
      </c>
      <c r="K15" s="450" t="str">
        <f>IF(Worksheet!K15&gt;0,Worksheet!K15," ")</f>
        <v xml:space="preserve"> </v>
      </c>
      <c r="L15" s="450" t="str">
        <f>IF(Worksheet!L15&gt;0,Worksheet!L15," ")</f>
        <v>Sealed</v>
      </c>
      <c r="M15" s="450" t="str">
        <f>IF(Worksheet!M15&gt;0,Worksheet!M15," ")</f>
        <v>M</v>
      </c>
      <c r="N15" s="450" t="str">
        <f>IF(Worksheet!N15&gt;0,Worksheet!N15," ")</f>
        <v>I</v>
      </c>
      <c r="O15" s="450" t="str">
        <f>IF(Worksheet!O15&gt;0,Worksheet!O15," ")</f>
        <v>VX Intimate Sing BO, Ivory</v>
      </c>
      <c r="P15" s="450" t="str">
        <f>IF(Worksheet!P15&gt;0,Worksheet!P15," ")</f>
        <v>Panel width - 43 3/4"center on tube</v>
      </c>
      <c r="Q15" s="450" t="str">
        <f>IF(Worksheet!Q15&gt;0,Worksheet!Q15," ")</f>
        <v>V</v>
      </c>
      <c r="R15" s="450" t="str">
        <f>IF(Worksheet!R15&gt;0,Worksheet!R15," ")</f>
        <v>RTS</v>
      </c>
      <c r="S15" s="450" t="str">
        <f>IF(Worksheet!S15&gt;0,Worksheet!S15," ")</f>
        <v xml:space="preserve"> </v>
      </c>
      <c r="T15" s="318"/>
    </row>
    <row r="16" spans="1:22" ht="14.1" customHeight="1" x14ac:dyDescent="0.2">
      <c r="A16" t="s">
        <v>31</v>
      </c>
      <c r="B16" s="50" t="str">
        <f>HLOOKUP($Q$5,'Data Sheet'!$B$2:$BA$23,3,FALSE)</f>
        <v>A2</v>
      </c>
      <c r="C16" s="450">
        <f>IF(Worksheet!C16&gt;0,Worksheet!C16," ")</f>
        <v>134</v>
      </c>
      <c r="D16" s="450">
        <f>IF(Worksheet!D16&gt;0,Worksheet!D16," ")</f>
        <v>1</v>
      </c>
      <c r="E16" s="450" t="str">
        <f>IF(Worksheet!E16&gt;0,Worksheet!E16," ")</f>
        <v>Tube 2.375</v>
      </c>
      <c r="F16" s="450">
        <f>IF(Worksheet!F16&gt;0,Worksheet!F16," ")</f>
        <v>46.5</v>
      </c>
      <c r="G16" s="234" t="s">
        <v>4</v>
      </c>
      <c r="H16" s="450">
        <f>IF(Worksheet!H16&gt;0,Worksheet!H16," ")</f>
        <v>141</v>
      </c>
      <c r="I16" s="450" t="str">
        <f>IF(Worksheet!I16&gt;0,Worksheet!I16," ")</f>
        <v>IB</v>
      </c>
      <c r="J16" s="450" t="str">
        <f>IF(Worksheet!J16&gt;0,Worksheet!J16," ")</f>
        <v>Yes</v>
      </c>
      <c r="K16" s="450" t="str">
        <f>IF(Worksheet!K16&gt;0,Worksheet!K16," ")</f>
        <v xml:space="preserve"> </v>
      </c>
      <c r="L16" s="450" t="str">
        <f>IF(Worksheet!L16&gt;0,Worksheet!L16," ")</f>
        <v>Sealed</v>
      </c>
      <c r="M16" s="450" t="str">
        <f>IF(Worksheet!M16&gt;0,Worksheet!M16," ")</f>
        <v>M</v>
      </c>
      <c r="N16" s="450" t="str">
        <f>IF(Worksheet!N16&gt;0,Worksheet!N16," ")</f>
        <v>I</v>
      </c>
      <c r="O16" s="450" t="str">
        <f>IF(Worksheet!O16&gt;0,Worksheet!O16," ")</f>
        <v>VX Intimate Sing BO, Ivory</v>
      </c>
      <c r="P16" s="450" t="str">
        <f>IF(Worksheet!P16&gt;0,Worksheet!P16," ")</f>
        <v>Panel width - 43 3/4"center on tube</v>
      </c>
      <c r="Q16" s="450" t="str">
        <f>IF(Worksheet!Q16&gt;0,Worksheet!Q16," ")</f>
        <v>V</v>
      </c>
      <c r="R16" s="450" t="str">
        <f>IF(Worksheet!R16&gt;0,Worksheet!R16," ")</f>
        <v>RTS</v>
      </c>
      <c r="S16" s="450" t="str">
        <f>IF(Worksheet!S16&gt;0,Worksheet!S16," ")</f>
        <v xml:space="preserve"> </v>
      </c>
      <c r="T16" s="318"/>
    </row>
    <row r="17" spans="1:20" ht="14.1" customHeight="1" x14ac:dyDescent="0.2">
      <c r="A17" t="s">
        <v>32</v>
      </c>
      <c r="B17" s="50" t="str">
        <f>HLOOKUP($Q$5,'Data Sheet'!$B$2:$BA$23,4,FALSE)</f>
        <v>A3</v>
      </c>
      <c r="C17" s="450">
        <f>IF(Worksheet!C17&gt;0,Worksheet!C17," ")</f>
        <v>135</v>
      </c>
      <c r="D17" s="450">
        <f>IF(Worksheet!D17&gt;0,Worksheet!D17," ")</f>
        <v>1</v>
      </c>
      <c r="E17" s="450" t="str">
        <f>IF(Worksheet!E17&gt;0,Worksheet!E17," ")</f>
        <v>Tube 2.375</v>
      </c>
      <c r="F17" s="450">
        <f>IF(Worksheet!F17&gt;0,Worksheet!F17," ")</f>
        <v>36</v>
      </c>
      <c r="G17" s="234" t="s">
        <v>4</v>
      </c>
      <c r="H17" s="450">
        <f>IF(Worksheet!H17&gt;0,Worksheet!H17," ")</f>
        <v>141</v>
      </c>
      <c r="I17" s="450" t="str">
        <f>IF(Worksheet!I17&gt;0,Worksheet!I17," ")</f>
        <v>IB</v>
      </c>
      <c r="J17" s="450" t="str">
        <f>IF(Worksheet!J17&gt;0,Worksheet!J17," ")</f>
        <v>Yes</v>
      </c>
      <c r="K17" s="450" t="str">
        <f>IF(Worksheet!K17&gt;0,Worksheet!K17," ")</f>
        <v xml:space="preserve"> </v>
      </c>
      <c r="L17" s="450" t="str">
        <f>IF(Worksheet!L17&gt;0,Worksheet!L17," ")</f>
        <v>Sealed</v>
      </c>
      <c r="M17" s="450" t="str">
        <f>IF(Worksheet!M17&gt;0,Worksheet!M17," ")</f>
        <v>M</v>
      </c>
      <c r="N17" s="450" t="str">
        <f>IF(Worksheet!N17&gt;0,Worksheet!N17," ")</f>
        <v>I</v>
      </c>
      <c r="O17" s="450" t="str">
        <f>IF(Worksheet!O17&gt;0,Worksheet!O17," ")</f>
        <v>VX Intimate Sing BO, Ivory</v>
      </c>
      <c r="P17" s="450" t="str">
        <f>IF(Worksheet!P17&gt;0,Worksheet!P17," ")</f>
        <v>Panel width - 30 3/8" center on tube</v>
      </c>
      <c r="Q17" s="450" t="str">
        <f>IF(Worksheet!Q17&gt;0,Worksheet!Q17," ")</f>
        <v>V</v>
      </c>
      <c r="R17" s="450" t="str">
        <f>IF(Worksheet!R17&gt;0,Worksheet!R17," ")</f>
        <v>RTS</v>
      </c>
      <c r="S17" s="450" t="str">
        <f>IF(Worksheet!S17&gt;0,Worksheet!S17," ")</f>
        <v xml:space="preserve"> </v>
      </c>
      <c r="T17" s="318"/>
    </row>
    <row r="18" spans="1:20" ht="14.1" customHeight="1" x14ac:dyDescent="0.2">
      <c r="A18" t="s">
        <v>29</v>
      </c>
      <c r="B18" s="50" t="str">
        <f>HLOOKUP($Q$5,'Data Sheet'!$B$2:$BA$23,5,FALSE)</f>
        <v>A4</v>
      </c>
      <c r="C18" s="450">
        <f>IF(Worksheet!C18&gt;0,Worksheet!C18," ")</f>
        <v>139</v>
      </c>
      <c r="D18" s="450">
        <f>IF(Worksheet!D18&gt;0,Worksheet!D18," ")</f>
        <v>1</v>
      </c>
      <c r="E18" s="450" t="str">
        <f>IF(Worksheet!E18&gt;0,Worksheet!E18," ")</f>
        <v>Tube 2.375</v>
      </c>
      <c r="F18" s="450">
        <f>IF(Worksheet!F18&gt;0,Worksheet!F18," ")</f>
        <v>36</v>
      </c>
      <c r="G18" s="234" t="s">
        <v>4</v>
      </c>
      <c r="H18" s="450">
        <f>IF(Worksheet!H18&gt;0,Worksheet!H18," ")</f>
        <v>141</v>
      </c>
      <c r="I18" s="450" t="str">
        <f>IF(Worksheet!I18&gt;0,Worksheet!I18," ")</f>
        <v>IB</v>
      </c>
      <c r="J18" s="450" t="str">
        <f>IF(Worksheet!J18&gt;0,Worksheet!J18," ")</f>
        <v>Yes</v>
      </c>
      <c r="K18" s="450" t="str">
        <f>IF(Worksheet!K18&gt;0,Worksheet!K18," ")</f>
        <v xml:space="preserve"> </v>
      </c>
      <c r="L18" s="450" t="str">
        <f>IF(Worksheet!L18&gt;0,Worksheet!L18," ")</f>
        <v>Sealed</v>
      </c>
      <c r="M18" s="450" t="str">
        <f>IF(Worksheet!M18&gt;0,Worksheet!M18," ")</f>
        <v>M</v>
      </c>
      <c r="N18" s="450" t="str">
        <f>IF(Worksheet!N18&gt;0,Worksheet!N18," ")</f>
        <v>I</v>
      </c>
      <c r="O18" s="450" t="str">
        <f>IF(Worksheet!O18&gt;0,Worksheet!O18," ")</f>
        <v>VX Intimate Sing BO, Ivory</v>
      </c>
      <c r="P18" s="450" t="str">
        <f>IF(Worksheet!P18&gt;0,Worksheet!P18," ")</f>
        <v>Panel width - 30 3/8" center on tube</v>
      </c>
      <c r="Q18" s="450" t="str">
        <f>IF(Worksheet!Q18&gt;0,Worksheet!Q18," ")</f>
        <v>V</v>
      </c>
      <c r="R18" s="450" t="str">
        <f>IF(Worksheet!R18&gt;0,Worksheet!R18," ")</f>
        <v>RTS</v>
      </c>
      <c r="S18" s="450" t="str">
        <f>IF(Worksheet!S18&gt;0,Worksheet!S18," ")</f>
        <v xml:space="preserve"> </v>
      </c>
      <c r="T18" s="318"/>
    </row>
    <row r="19" spans="1:20" ht="14.1" customHeight="1" x14ac:dyDescent="0.2">
      <c r="A19" t="s">
        <v>33</v>
      </c>
      <c r="B19" s="50" t="str">
        <f>HLOOKUP($Q$5,'Data Sheet'!$B$2:$BA$23,6,FALSE)</f>
        <v>A5</v>
      </c>
      <c r="C19" s="450">
        <f>IF(Worksheet!C19&gt;0,Worksheet!C19," ")</f>
        <v>140</v>
      </c>
      <c r="D19" s="450">
        <f>IF(Worksheet!D19&gt;0,Worksheet!D19," ")</f>
        <v>1</v>
      </c>
      <c r="E19" s="450" t="str">
        <f>IF(Worksheet!E19&gt;0,Worksheet!E19," ")</f>
        <v>Tube 2.375</v>
      </c>
      <c r="F19" s="450">
        <f>IF(Worksheet!F19&gt;0,Worksheet!F19," ")</f>
        <v>46.375</v>
      </c>
      <c r="G19" s="234" t="s">
        <v>4</v>
      </c>
      <c r="H19" s="450">
        <f>IF(Worksheet!H19&gt;0,Worksheet!H19," ")</f>
        <v>141</v>
      </c>
      <c r="I19" s="450" t="str">
        <f>IF(Worksheet!I19&gt;0,Worksheet!I19," ")</f>
        <v>IB</v>
      </c>
      <c r="J19" s="450" t="str">
        <f>IF(Worksheet!J19&gt;0,Worksheet!J19," ")</f>
        <v>Yes</v>
      </c>
      <c r="K19" s="450" t="str">
        <f>IF(Worksheet!K19&gt;0,Worksheet!K19," ")</f>
        <v xml:space="preserve"> </v>
      </c>
      <c r="L19" s="450" t="str">
        <f>IF(Worksheet!L19&gt;0,Worksheet!L19," ")</f>
        <v>Sealed</v>
      </c>
      <c r="M19" s="450" t="str">
        <f>IF(Worksheet!M19&gt;0,Worksheet!M19," ")</f>
        <v>M</v>
      </c>
      <c r="N19" s="450" t="str">
        <f>IF(Worksheet!N19&gt;0,Worksheet!N19," ")</f>
        <v>I</v>
      </c>
      <c r="O19" s="450" t="str">
        <f>IF(Worksheet!O19&gt;0,Worksheet!O19," ")</f>
        <v>VX Intimate Sing BO, Ivory</v>
      </c>
      <c r="P19" s="450" t="str">
        <f>IF(Worksheet!P19&gt;0,Worksheet!P19," ")</f>
        <v>Panel width - 43 3/4"center on tube</v>
      </c>
      <c r="Q19" s="450" t="str">
        <f>IF(Worksheet!Q19&gt;0,Worksheet!Q19," ")</f>
        <v>V</v>
      </c>
      <c r="R19" s="450" t="str">
        <f>IF(Worksheet!R19&gt;0,Worksheet!R19," ")</f>
        <v>RTS</v>
      </c>
      <c r="S19" s="450" t="str">
        <f>IF(Worksheet!S19&gt;0,Worksheet!S19," ")</f>
        <v xml:space="preserve"> </v>
      </c>
      <c r="T19" s="318"/>
    </row>
    <row r="20" spans="1:20" ht="14.1" customHeight="1" x14ac:dyDescent="0.2">
      <c r="A20" t="s">
        <v>34</v>
      </c>
      <c r="B20" s="50" t="str">
        <f>HLOOKUP($Q$5,'Data Sheet'!$B$2:$BA$23,7,FALSE)</f>
        <v>A6</v>
      </c>
      <c r="C20" s="450">
        <f>IF(Worksheet!C20&gt;0,Worksheet!C20," ")</f>
        <v>140</v>
      </c>
      <c r="D20" s="450">
        <f>IF(Worksheet!D20&gt;0,Worksheet!D20," ")</f>
        <v>1</v>
      </c>
      <c r="E20" s="450" t="str">
        <f>IF(Worksheet!E20&gt;0,Worksheet!E20," ")</f>
        <v>Tube 2.375</v>
      </c>
      <c r="F20" s="450">
        <f>IF(Worksheet!F20&gt;0,Worksheet!F20," ")</f>
        <v>46.25</v>
      </c>
      <c r="G20" s="234" t="s">
        <v>4</v>
      </c>
      <c r="H20" s="450">
        <f>IF(Worksheet!H20&gt;0,Worksheet!H20," ")</f>
        <v>141</v>
      </c>
      <c r="I20" s="450" t="str">
        <f>IF(Worksheet!I20&gt;0,Worksheet!I20," ")</f>
        <v>IB</v>
      </c>
      <c r="J20" s="450" t="str">
        <f>IF(Worksheet!J20&gt;0,Worksheet!J20," ")</f>
        <v>Yes</v>
      </c>
      <c r="K20" s="450" t="str">
        <f>IF(Worksheet!K20&gt;0,Worksheet!K20," ")</f>
        <v xml:space="preserve"> </v>
      </c>
      <c r="L20" s="450" t="str">
        <f>IF(Worksheet!L20&gt;0,Worksheet!L20," ")</f>
        <v>Sealed</v>
      </c>
      <c r="M20" s="450" t="str">
        <f>IF(Worksheet!M20&gt;0,Worksheet!M20," ")</f>
        <v>M</v>
      </c>
      <c r="N20" s="450" t="str">
        <f>IF(Worksheet!N20&gt;0,Worksheet!N20," ")</f>
        <v>I</v>
      </c>
      <c r="O20" s="450" t="str">
        <f>IF(Worksheet!O20&gt;0,Worksheet!O20," ")</f>
        <v>VX Intimate Sing BO, Ivory</v>
      </c>
      <c r="P20" s="450" t="str">
        <f>IF(Worksheet!P20&gt;0,Worksheet!P20," ")</f>
        <v>Panel width - 43 3/4"center on tube</v>
      </c>
      <c r="Q20" s="450" t="str">
        <f>IF(Worksheet!Q20&gt;0,Worksheet!Q20," ")</f>
        <v>V</v>
      </c>
      <c r="R20" s="450" t="str">
        <f>IF(Worksheet!R20&gt;0,Worksheet!R20," ")</f>
        <v>RTS</v>
      </c>
      <c r="S20" s="450" t="str">
        <f>IF(Worksheet!S20&gt;0,Worksheet!S20," ")</f>
        <v xml:space="preserve"> </v>
      </c>
      <c r="T20" s="318"/>
    </row>
    <row r="21" spans="1:20" ht="14.1" customHeight="1" x14ac:dyDescent="0.2">
      <c r="A21" t="s">
        <v>35</v>
      </c>
      <c r="B21" s="50" t="str">
        <f>HLOOKUP($Q$5,'Data Sheet'!$B$2:$BA$23,8,FALSE)</f>
        <v>A7</v>
      </c>
      <c r="C21" s="450" t="str">
        <f>IF(Worksheet!C21&gt;0,Worksheet!C21," ")</f>
        <v xml:space="preserve"> </v>
      </c>
      <c r="D21" s="450" t="str">
        <f>IF(Worksheet!D21&gt;0,Worksheet!D21," ")</f>
        <v xml:space="preserve"> </v>
      </c>
      <c r="E21" s="450" t="str">
        <f>IF(Worksheet!E21&gt;0,Worksheet!E21," ")</f>
        <v xml:space="preserve"> </v>
      </c>
      <c r="F21" s="450" t="str">
        <f>IF(Worksheet!F21&gt;0,Worksheet!F21," ")</f>
        <v xml:space="preserve"> </v>
      </c>
      <c r="G21" s="234" t="s">
        <v>4</v>
      </c>
      <c r="H21" s="450" t="str">
        <f>IF(Worksheet!H21&gt;0,Worksheet!H21," ")</f>
        <v xml:space="preserve"> </v>
      </c>
      <c r="I21" s="450" t="str">
        <f>IF(Worksheet!I21&gt;0,Worksheet!I21," ")</f>
        <v xml:space="preserve"> </v>
      </c>
      <c r="J21" s="450" t="str">
        <f>IF(Worksheet!J21&gt;0,Worksheet!J21," ")</f>
        <v xml:space="preserve"> </v>
      </c>
      <c r="K21" s="450" t="str">
        <f>IF(Worksheet!K21&gt;0,Worksheet!K21," ")</f>
        <v xml:space="preserve"> </v>
      </c>
      <c r="L21" s="450" t="str">
        <f>IF(Worksheet!L21&gt;0,Worksheet!L21," ")</f>
        <v>Sealed</v>
      </c>
      <c r="M21" s="450" t="str">
        <f>IF(Worksheet!M21&gt;0,Worksheet!M21," ")</f>
        <v xml:space="preserve"> </v>
      </c>
      <c r="N21" s="450" t="str">
        <f>IF(Worksheet!N21&gt;0,Worksheet!N21," ")</f>
        <v xml:space="preserve"> </v>
      </c>
      <c r="O21" s="450" t="str">
        <f>IF(Worksheet!O21&gt;0,Worksheet!O21," ")</f>
        <v xml:space="preserve"> </v>
      </c>
      <c r="P21" s="450" t="str">
        <f>IF(Worksheet!P21&gt;0,Worksheet!P21," ")</f>
        <v xml:space="preserve"> </v>
      </c>
      <c r="Q21" s="450" t="str">
        <f>IF(Worksheet!Q21&gt;0,Worksheet!Q21," ")</f>
        <v xml:space="preserve"> </v>
      </c>
      <c r="R21" s="450" t="str">
        <f>IF(Worksheet!R21&gt;0,Worksheet!R21," ")</f>
        <v xml:space="preserve"> </v>
      </c>
      <c r="S21" s="450" t="str">
        <f>IF(Worksheet!S21&gt;0,Worksheet!S21," ")</f>
        <v xml:space="preserve"> </v>
      </c>
      <c r="T21" s="318"/>
    </row>
    <row r="22" spans="1:20" ht="14.1" customHeight="1" x14ac:dyDescent="0.2">
      <c r="A22" t="s">
        <v>36</v>
      </c>
      <c r="B22" s="50" t="str">
        <f>HLOOKUP($Q$5,'Data Sheet'!$B$2:$BA$23,9,FALSE)</f>
        <v>A8</v>
      </c>
      <c r="C22" s="450" t="str">
        <f>IF(Worksheet!C22&gt;0,Worksheet!C22," ")</f>
        <v xml:space="preserve"> </v>
      </c>
      <c r="D22" s="450" t="str">
        <f>IF(Worksheet!D22&gt;0,Worksheet!D22," ")</f>
        <v xml:space="preserve"> </v>
      </c>
      <c r="E22" s="450" t="str">
        <f>IF(Worksheet!E22&gt;0,Worksheet!E22," ")</f>
        <v xml:space="preserve"> </v>
      </c>
      <c r="F22" s="450" t="str">
        <f>IF(Worksheet!F22&gt;0,Worksheet!F22," ")</f>
        <v xml:space="preserve"> </v>
      </c>
      <c r="G22" s="234" t="s">
        <v>4</v>
      </c>
      <c r="H22" s="450" t="str">
        <f>IF(Worksheet!H22&gt;0,Worksheet!H22," ")</f>
        <v xml:space="preserve"> </v>
      </c>
      <c r="I22" s="450" t="str">
        <f>IF(Worksheet!I22&gt;0,Worksheet!I22," ")</f>
        <v xml:space="preserve"> </v>
      </c>
      <c r="J22" s="450" t="str">
        <f>IF(Worksheet!J22&gt;0,Worksheet!J22," ")</f>
        <v xml:space="preserve"> </v>
      </c>
      <c r="K22" s="450" t="str">
        <f>IF(Worksheet!K22&gt;0,Worksheet!K22," ")</f>
        <v xml:space="preserve"> </v>
      </c>
      <c r="L22" s="450" t="str">
        <f>IF(Worksheet!L22&gt;0,Worksheet!L22," ")</f>
        <v>Sealed</v>
      </c>
      <c r="M22" s="450" t="str">
        <f>IF(Worksheet!M22&gt;0,Worksheet!M22," ")</f>
        <v xml:space="preserve"> </v>
      </c>
      <c r="N22" s="450" t="str">
        <f>IF(Worksheet!N22&gt;0,Worksheet!N22," ")</f>
        <v xml:space="preserve"> </v>
      </c>
      <c r="O22" s="450" t="str">
        <f>IF(Worksheet!O22&gt;0,Worksheet!O22," ")</f>
        <v xml:space="preserve"> </v>
      </c>
      <c r="P22" s="450" t="str">
        <f>IF(Worksheet!P22&gt;0,Worksheet!P22," ")</f>
        <v xml:space="preserve"> </v>
      </c>
      <c r="Q22" s="450" t="str">
        <f>IF(Worksheet!Q22&gt;0,Worksheet!Q22," ")</f>
        <v xml:space="preserve"> </v>
      </c>
      <c r="R22" s="450" t="str">
        <f>IF(Worksheet!R22&gt;0,Worksheet!R22," ")</f>
        <v xml:space="preserve"> </v>
      </c>
      <c r="S22" s="450" t="str">
        <f>IF(Worksheet!S22&gt;0,Worksheet!S22," ")</f>
        <v xml:space="preserve"> </v>
      </c>
      <c r="T22" s="318"/>
    </row>
    <row r="23" spans="1:20" ht="14.1" customHeight="1" x14ac:dyDescent="0.2">
      <c r="A23" t="s">
        <v>37</v>
      </c>
      <c r="B23" s="50" t="str">
        <f>HLOOKUP($Q$5,'Data Sheet'!$B$2:$BA$23,10,FALSE)</f>
        <v>A9</v>
      </c>
      <c r="C23" s="450" t="str">
        <f>IF(Worksheet!C23&gt;0,Worksheet!C23," ")</f>
        <v xml:space="preserve"> </v>
      </c>
      <c r="D23" s="450" t="str">
        <f>IF(Worksheet!D23&gt;0,Worksheet!D23," ")</f>
        <v xml:space="preserve"> </v>
      </c>
      <c r="E23" s="450" t="str">
        <f>IF(Worksheet!E23&gt;0,Worksheet!E23," ")</f>
        <v xml:space="preserve"> </v>
      </c>
      <c r="F23" s="450" t="str">
        <f>IF(Worksheet!F23&gt;0,Worksheet!F23," ")</f>
        <v xml:space="preserve"> </v>
      </c>
      <c r="G23" s="234" t="s">
        <v>4</v>
      </c>
      <c r="H23" s="450" t="str">
        <f>IF(Worksheet!H23&gt;0,Worksheet!H23," ")</f>
        <v xml:space="preserve"> </v>
      </c>
      <c r="I23" s="450" t="str">
        <f>IF(Worksheet!I23&gt;0,Worksheet!I23," ")</f>
        <v xml:space="preserve"> </v>
      </c>
      <c r="J23" s="450" t="str">
        <f>IF(Worksheet!J23&gt;0,Worksheet!J23," ")</f>
        <v xml:space="preserve"> </v>
      </c>
      <c r="K23" s="450" t="str">
        <f>IF(Worksheet!K23&gt;0,Worksheet!K23," ")</f>
        <v xml:space="preserve"> </v>
      </c>
      <c r="L23" s="450" t="str">
        <f>IF(Worksheet!L23&gt;0,Worksheet!L23," ")</f>
        <v>Sealed</v>
      </c>
      <c r="M23" s="450" t="str">
        <f>IF(Worksheet!M23&gt;0,Worksheet!M23," ")</f>
        <v xml:space="preserve"> </v>
      </c>
      <c r="N23" s="450" t="str">
        <f>IF(Worksheet!N23&gt;0,Worksheet!N23," ")</f>
        <v xml:space="preserve"> </v>
      </c>
      <c r="O23" s="450" t="str">
        <f>IF(Worksheet!O23&gt;0,Worksheet!O23," ")</f>
        <v xml:space="preserve"> </v>
      </c>
      <c r="P23" s="450" t="str">
        <f>IF(Worksheet!P23&gt;0,Worksheet!P23," ")</f>
        <v xml:space="preserve"> </v>
      </c>
      <c r="Q23" s="450" t="str">
        <f>IF(Worksheet!Q23&gt;0,Worksheet!Q23," ")</f>
        <v xml:space="preserve"> </v>
      </c>
      <c r="R23" s="450" t="str">
        <f>IF(Worksheet!R23&gt;0,Worksheet!R23," ")</f>
        <v xml:space="preserve"> </v>
      </c>
      <c r="S23" s="450" t="str">
        <f>IF(Worksheet!S23&gt;0,Worksheet!S23," ")</f>
        <v xml:space="preserve"> </v>
      </c>
      <c r="T23" s="318"/>
    </row>
    <row r="24" spans="1:20" ht="14.1" customHeight="1" x14ac:dyDescent="0.2">
      <c r="A24" t="s">
        <v>38</v>
      </c>
      <c r="B24" s="50" t="str">
        <f>HLOOKUP($Q$5,'Data Sheet'!$B$2:$BA$23,11,FALSE)</f>
        <v>A10</v>
      </c>
      <c r="C24" s="450" t="str">
        <f>IF(Worksheet!C24&gt;0,Worksheet!C24," ")</f>
        <v xml:space="preserve"> </v>
      </c>
      <c r="D24" s="450" t="str">
        <f>IF(Worksheet!D24&gt;0,Worksheet!D24," ")</f>
        <v xml:space="preserve"> </v>
      </c>
      <c r="E24" s="450" t="str">
        <f>IF(Worksheet!E24&gt;0,Worksheet!E24," ")</f>
        <v xml:space="preserve"> </v>
      </c>
      <c r="F24" s="450" t="str">
        <f>IF(Worksheet!F24&gt;0,Worksheet!F24," ")</f>
        <v xml:space="preserve"> </v>
      </c>
      <c r="G24" s="234" t="s">
        <v>4</v>
      </c>
      <c r="H24" s="450" t="str">
        <f>IF(Worksheet!H24&gt;0,Worksheet!H24," ")</f>
        <v xml:space="preserve"> </v>
      </c>
      <c r="I24" s="450" t="str">
        <f>IF(Worksheet!I24&gt;0,Worksheet!I24," ")</f>
        <v xml:space="preserve"> </v>
      </c>
      <c r="J24" s="450" t="str">
        <f>IF(Worksheet!J24&gt;0,Worksheet!J24," ")</f>
        <v xml:space="preserve"> </v>
      </c>
      <c r="K24" s="450" t="str">
        <f>IF(Worksheet!K24&gt;0,Worksheet!K24," ")</f>
        <v xml:space="preserve"> </v>
      </c>
      <c r="L24" s="450" t="str">
        <f>IF(Worksheet!L24&gt;0,Worksheet!L24," ")</f>
        <v>Sealed</v>
      </c>
      <c r="M24" s="450" t="str">
        <f>IF(Worksheet!M24&gt;0,Worksheet!M24," ")</f>
        <v xml:space="preserve"> </v>
      </c>
      <c r="N24" s="450" t="str">
        <f>IF(Worksheet!N24&gt;0,Worksheet!N24," ")</f>
        <v xml:space="preserve"> </v>
      </c>
      <c r="O24" s="450" t="str">
        <f>IF(Worksheet!O24&gt;0,Worksheet!O24," ")</f>
        <v xml:space="preserve"> </v>
      </c>
      <c r="P24" s="450" t="str">
        <f>IF(Worksheet!P24&gt;0,Worksheet!P24," ")</f>
        <v xml:space="preserve"> </v>
      </c>
      <c r="Q24" s="450" t="str">
        <f>IF(Worksheet!Q24&gt;0,Worksheet!Q24," ")</f>
        <v xml:space="preserve"> </v>
      </c>
      <c r="R24" s="450" t="str">
        <f>IF(Worksheet!R24&gt;0,Worksheet!R24," ")</f>
        <v xml:space="preserve"> </v>
      </c>
      <c r="S24" s="450" t="str">
        <f>IF(Worksheet!S24&gt;0,Worksheet!S24," ")</f>
        <v xml:space="preserve"> </v>
      </c>
      <c r="T24" s="318"/>
    </row>
    <row r="25" spans="1:20" ht="14.1" customHeight="1" x14ac:dyDescent="0.2">
      <c r="A25" t="s">
        <v>39</v>
      </c>
      <c r="B25" s="50" t="str">
        <f>HLOOKUP($Q$5,'Data Sheet'!$B$2:$BA$23,12,FALSE)</f>
        <v>A11</v>
      </c>
      <c r="C25" s="450" t="str">
        <f>IF(Worksheet!C25&gt;0,Worksheet!C25," ")</f>
        <v xml:space="preserve"> </v>
      </c>
      <c r="D25" s="450" t="str">
        <f>IF(Worksheet!D25&gt;0,Worksheet!D25," ")</f>
        <v xml:space="preserve"> </v>
      </c>
      <c r="E25" s="450" t="str">
        <f>IF(Worksheet!E25&gt;0,Worksheet!E25," ")</f>
        <v xml:space="preserve"> </v>
      </c>
      <c r="F25" s="450" t="str">
        <f>IF(Worksheet!F25&gt;0,Worksheet!F25," ")</f>
        <v xml:space="preserve"> </v>
      </c>
      <c r="G25" s="234" t="s">
        <v>4</v>
      </c>
      <c r="H25" s="450" t="str">
        <f>IF(Worksheet!H25&gt;0,Worksheet!H25," ")</f>
        <v xml:space="preserve"> </v>
      </c>
      <c r="I25" s="450" t="str">
        <f>IF(Worksheet!I25&gt;0,Worksheet!I25," ")</f>
        <v xml:space="preserve"> </v>
      </c>
      <c r="J25" s="450" t="str">
        <f>IF(Worksheet!J25&gt;0,Worksheet!J25," ")</f>
        <v xml:space="preserve"> </v>
      </c>
      <c r="K25" s="450" t="str">
        <f>IF(Worksheet!K25&gt;0,Worksheet!K25," ")</f>
        <v xml:space="preserve"> </v>
      </c>
      <c r="L25" s="450" t="str">
        <f>IF(Worksheet!L25&gt;0,Worksheet!L25," ")</f>
        <v>Sealed</v>
      </c>
      <c r="M25" s="450" t="str">
        <f>IF(Worksheet!M25&gt;0,Worksheet!M25," ")</f>
        <v xml:space="preserve"> </v>
      </c>
      <c r="N25" s="450" t="str">
        <f>IF(Worksheet!N25&gt;0,Worksheet!N25," ")</f>
        <v xml:space="preserve"> </v>
      </c>
      <c r="O25" s="450" t="str">
        <f>IF(Worksheet!O25&gt;0,Worksheet!O25," ")</f>
        <v xml:space="preserve"> </v>
      </c>
      <c r="P25" s="450" t="str">
        <f>IF(Worksheet!P25&gt;0,Worksheet!P25," ")</f>
        <v xml:space="preserve"> </v>
      </c>
      <c r="Q25" s="450" t="str">
        <f>IF(Worksheet!Q25&gt;0,Worksheet!Q25," ")</f>
        <v xml:space="preserve"> </v>
      </c>
      <c r="R25" s="450" t="str">
        <f>IF(Worksheet!R25&gt;0,Worksheet!R25," ")</f>
        <v xml:space="preserve"> </v>
      </c>
      <c r="S25" s="450" t="str">
        <f>IF(Worksheet!S25&gt;0,Worksheet!S25," ")</f>
        <v xml:space="preserve"> </v>
      </c>
      <c r="T25" s="318"/>
    </row>
    <row r="26" spans="1:20" ht="14.1" customHeight="1" x14ac:dyDescent="0.2">
      <c r="A26" t="s">
        <v>40</v>
      </c>
      <c r="B26" s="50" t="str">
        <f>HLOOKUP($Q$5,'Data Sheet'!$B$2:$BA$23,13,FALSE)</f>
        <v>A12</v>
      </c>
      <c r="C26" s="450" t="str">
        <f>IF(Worksheet!C26&gt;0,Worksheet!C26," ")</f>
        <v xml:space="preserve"> </v>
      </c>
      <c r="D26" s="450" t="str">
        <f>IF(Worksheet!D26&gt;0,Worksheet!D26," ")</f>
        <v xml:space="preserve"> </v>
      </c>
      <c r="E26" s="450" t="str">
        <f>IF(Worksheet!E26&gt;0,Worksheet!E26," ")</f>
        <v xml:space="preserve"> </v>
      </c>
      <c r="F26" s="450" t="str">
        <f>IF(Worksheet!F26&gt;0,Worksheet!F26," ")</f>
        <v xml:space="preserve"> </v>
      </c>
      <c r="G26" s="234" t="s">
        <v>4</v>
      </c>
      <c r="H26" s="450" t="str">
        <f>IF(Worksheet!H26&gt;0,Worksheet!H26," ")</f>
        <v xml:space="preserve"> </v>
      </c>
      <c r="I26" s="450" t="str">
        <f>IF(Worksheet!I26&gt;0,Worksheet!I26," ")</f>
        <v xml:space="preserve"> </v>
      </c>
      <c r="J26" s="450" t="str">
        <f>IF(Worksheet!J26&gt;0,Worksheet!J26," ")</f>
        <v xml:space="preserve"> </v>
      </c>
      <c r="K26" s="450" t="str">
        <f>IF(Worksheet!K26&gt;0,Worksheet!K26," ")</f>
        <v xml:space="preserve"> </v>
      </c>
      <c r="L26" s="450" t="str">
        <f>IF(Worksheet!L26&gt;0,Worksheet!L26," ")</f>
        <v>Sealed</v>
      </c>
      <c r="M26" s="450" t="str">
        <f>IF(Worksheet!M26&gt;0,Worksheet!M26," ")</f>
        <v xml:space="preserve"> </v>
      </c>
      <c r="N26" s="450" t="str">
        <f>IF(Worksheet!N26&gt;0,Worksheet!N26," ")</f>
        <v xml:space="preserve"> </v>
      </c>
      <c r="O26" s="450" t="str">
        <f>IF(Worksheet!O26&gt;0,Worksheet!O26," ")</f>
        <v xml:space="preserve"> </v>
      </c>
      <c r="P26" s="450" t="str">
        <f>IF(Worksheet!P26&gt;0,Worksheet!P26," ")</f>
        <v xml:space="preserve"> </v>
      </c>
      <c r="Q26" s="450" t="str">
        <f>IF(Worksheet!Q26&gt;0,Worksheet!Q26," ")</f>
        <v xml:space="preserve"> </v>
      </c>
      <c r="R26" s="450" t="str">
        <f>IF(Worksheet!R26&gt;0,Worksheet!R26," ")</f>
        <v xml:space="preserve"> </v>
      </c>
      <c r="S26" s="450" t="str">
        <f>IF(Worksheet!S26&gt;0,Worksheet!S26," ")</f>
        <v xml:space="preserve"> </v>
      </c>
      <c r="T26" s="318"/>
    </row>
    <row r="27" spans="1:20" ht="14.1" customHeight="1" x14ac:dyDescent="0.2">
      <c r="A27" t="s">
        <v>41</v>
      </c>
      <c r="B27" s="50" t="str">
        <f>HLOOKUP($Q$5,'Data Sheet'!$B$2:$BA$23,14,FALSE)</f>
        <v>A13</v>
      </c>
      <c r="C27" s="450" t="str">
        <f>IF(Worksheet!C27&gt;0,Worksheet!C27," ")</f>
        <v xml:space="preserve"> </v>
      </c>
      <c r="D27" s="450" t="str">
        <f>IF(Worksheet!D27&gt;0,Worksheet!D27," ")</f>
        <v xml:space="preserve"> </v>
      </c>
      <c r="E27" s="450" t="str">
        <f>IF(Worksheet!E27&gt;0,Worksheet!E27," ")</f>
        <v xml:space="preserve"> </v>
      </c>
      <c r="F27" s="450" t="str">
        <f>IF(Worksheet!F27&gt;0,Worksheet!F27," ")</f>
        <v xml:space="preserve"> </v>
      </c>
      <c r="G27" s="234" t="s">
        <v>4</v>
      </c>
      <c r="H27" s="450" t="str">
        <f>IF(Worksheet!H27&gt;0,Worksheet!H27," ")</f>
        <v xml:space="preserve"> </v>
      </c>
      <c r="I27" s="450" t="str">
        <f>IF(Worksheet!I27&gt;0,Worksheet!I27," ")</f>
        <v xml:space="preserve"> </v>
      </c>
      <c r="J27" s="450" t="str">
        <f>IF(Worksheet!J27&gt;0,Worksheet!J27," ")</f>
        <v xml:space="preserve"> </v>
      </c>
      <c r="K27" s="450" t="str">
        <f>IF(Worksheet!K27&gt;0,Worksheet!K27," ")</f>
        <v xml:space="preserve"> </v>
      </c>
      <c r="L27" s="450" t="str">
        <f>IF(Worksheet!L27&gt;0,Worksheet!L27," ")</f>
        <v>Sealed</v>
      </c>
      <c r="M27" s="450" t="str">
        <f>IF(Worksheet!M27&gt;0,Worksheet!M27," ")</f>
        <v xml:space="preserve"> </v>
      </c>
      <c r="N27" s="450" t="str">
        <f>IF(Worksheet!N27&gt;0,Worksheet!N27," ")</f>
        <v xml:space="preserve"> </v>
      </c>
      <c r="O27" s="450" t="str">
        <f>IF(Worksheet!O27&gt;0,Worksheet!O27," ")</f>
        <v xml:space="preserve"> </v>
      </c>
      <c r="P27" s="450" t="str">
        <f>IF(Worksheet!P27&gt;0,Worksheet!P27," ")</f>
        <v xml:space="preserve"> </v>
      </c>
      <c r="Q27" s="450" t="str">
        <f>IF(Worksheet!Q27&gt;0,Worksheet!Q27," ")</f>
        <v xml:space="preserve"> </v>
      </c>
      <c r="R27" s="450" t="str">
        <f>IF(Worksheet!R27&gt;0,Worksheet!R27," ")</f>
        <v xml:space="preserve"> </v>
      </c>
      <c r="S27" s="450" t="str">
        <f>IF(Worksheet!S27&gt;0,Worksheet!S27," ")</f>
        <v xml:space="preserve"> </v>
      </c>
      <c r="T27" s="318"/>
    </row>
    <row r="28" spans="1:20" ht="14.1" customHeight="1" x14ac:dyDescent="0.2">
      <c r="A28" t="s">
        <v>42</v>
      </c>
      <c r="B28" s="50" t="str">
        <f>HLOOKUP($Q$5,'Data Sheet'!$B$2:$BA$23,15,FALSE)</f>
        <v>A14</v>
      </c>
      <c r="C28" s="450" t="str">
        <f>IF(Worksheet!C28&gt;0,Worksheet!C28," ")</f>
        <v xml:space="preserve"> </v>
      </c>
      <c r="D28" s="450" t="str">
        <f>IF(Worksheet!D28&gt;0,Worksheet!D28," ")</f>
        <v xml:space="preserve"> </v>
      </c>
      <c r="E28" s="450" t="str">
        <f>IF(Worksheet!E28&gt;0,Worksheet!E28," ")</f>
        <v xml:space="preserve"> </v>
      </c>
      <c r="F28" s="450" t="str">
        <f>IF(Worksheet!F28&gt;0,Worksheet!F28," ")</f>
        <v xml:space="preserve"> </v>
      </c>
      <c r="G28" s="234" t="s">
        <v>4</v>
      </c>
      <c r="H28" s="450" t="str">
        <f>IF(Worksheet!H28&gt;0,Worksheet!H28," ")</f>
        <v xml:space="preserve"> </v>
      </c>
      <c r="I28" s="450" t="str">
        <f>IF(Worksheet!I28&gt;0,Worksheet!I28," ")</f>
        <v xml:space="preserve"> </v>
      </c>
      <c r="J28" s="450" t="str">
        <f>IF(Worksheet!J28&gt;0,Worksheet!J28," ")</f>
        <v xml:space="preserve"> </v>
      </c>
      <c r="K28" s="450" t="str">
        <f>IF(Worksheet!K28&gt;0,Worksheet!K28," ")</f>
        <v xml:space="preserve"> </v>
      </c>
      <c r="L28" s="450" t="str">
        <f>IF(Worksheet!L28&gt;0,Worksheet!L28," ")</f>
        <v>Sealed</v>
      </c>
      <c r="M28" s="450" t="str">
        <f>IF(Worksheet!M28&gt;0,Worksheet!M28," ")</f>
        <v xml:space="preserve"> </v>
      </c>
      <c r="N28" s="450" t="str">
        <f>IF(Worksheet!N28&gt;0,Worksheet!N28," ")</f>
        <v xml:space="preserve"> </v>
      </c>
      <c r="O28" s="450" t="str">
        <f>IF(Worksheet!O28&gt;0,Worksheet!O28," ")</f>
        <v xml:space="preserve"> </v>
      </c>
      <c r="P28" s="450" t="str">
        <f>IF(Worksheet!P28&gt;0,Worksheet!P28," ")</f>
        <v xml:space="preserve"> </v>
      </c>
      <c r="Q28" s="450" t="str">
        <f>IF(Worksheet!Q28&gt;0,Worksheet!Q28," ")</f>
        <v xml:space="preserve"> </v>
      </c>
      <c r="R28" s="450" t="str">
        <f>IF(Worksheet!R28&gt;0,Worksheet!R28," ")</f>
        <v xml:space="preserve"> </v>
      </c>
      <c r="S28" s="450" t="str">
        <f>IF(Worksheet!S28&gt;0,Worksheet!S28," ")</f>
        <v xml:space="preserve"> </v>
      </c>
      <c r="T28" s="318"/>
    </row>
    <row r="29" spans="1:20" ht="14.1" customHeight="1" x14ac:dyDescent="0.2">
      <c r="A29" t="s">
        <v>43</v>
      </c>
      <c r="B29" s="50" t="str">
        <f>HLOOKUP($Q$5,'Data Sheet'!$B$2:$BA$23,16,FALSE)</f>
        <v>A15</v>
      </c>
      <c r="C29" s="450" t="str">
        <f>IF(Worksheet!C29&gt;0,Worksheet!C29," ")</f>
        <v xml:space="preserve"> </v>
      </c>
      <c r="D29" s="450" t="str">
        <f>IF(Worksheet!D29&gt;0,Worksheet!D29," ")</f>
        <v xml:space="preserve"> </v>
      </c>
      <c r="E29" s="450" t="str">
        <f>IF(Worksheet!E29&gt;0,Worksheet!E29," ")</f>
        <v xml:space="preserve"> </v>
      </c>
      <c r="F29" s="450" t="str">
        <f>IF(Worksheet!F29&gt;0,Worksheet!F29," ")</f>
        <v xml:space="preserve"> </v>
      </c>
      <c r="G29" s="234" t="s">
        <v>4</v>
      </c>
      <c r="H29" s="450" t="str">
        <f>IF(Worksheet!H29&gt;0,Worksheet!H29," ")</f>
        <v xml:space="preserve"> </v>
      </c>
      <c r="I29" s="450" t="str">
        <f>IF(Worksheet!I29&gt;0,Worksheet!I29," ")</f>
        <v xml:space="preserve"> </v>
      </c>
      <c r="J29" s="450" t="str">
        <f>IF(Worksheet!J29&gt;0,Worksheet!J29," ")</f>
        <v xml:space="preserve"> </v>
      </c>
      <c r="K29" s="450" t="str">
        <f>IF(Worksheet!K29&gt;0,Worksheet!K29," ")</f>
        <v xml:space="preserve"> </v>
      </c>
      <c r="L29" s="450" t="str">
        <f>IF(Worksheet!L29&gt;0,Worksheet!L29," ")</f>
        <v>Sealed</v>
      </c>
      <c r="M29" s="450" t="str">
        <f>IF(Worksheet!M29&gt;0,Worksheet!M29," ")</f>
        <v xml:space="preserve"> </v>
      </c>
      <c r="N29" s="450" t="str">
        <f>IF(Worksheet!N29&gt;0,Worksheet!N29," ")</f>
        <v xml:space="preserve"> </v>
      </c>
      <c r="O29" s="450" t="str">
        <f>IF(Worksheet!O29&gt;0,Worksheet!O29," ")</f>
        <v xml:space="preserve"> </v>
      </c>
      <c r="P29" s="450" t="str">
        <f>IF(Worksheet!P29&gt;0,Worksheet!P29," ")</f>
        <v xml:space="preserve"> </v>
      </c>
      <c r="Q29" s="450" t="str">
        <f>IF(Worksheet!Q29&gt;0,Worksheet!Q29," ")</f>
        <v xml:space="preserve"> </v>
      </c>
      <c r="R29" s="450" t="str">
        <f>IF(Worksheet!R29&gt;0,Worksheet!R29," ")</f>
        <v xml:space="preserve"> </v>
      </c>
      <c r="S29" s="450" t="str">
        <f>IF(Worksheet!S29&gt;0,Worksheet!S29," ")</f>
        <v xml:space="preserve"> </v>
      </c>
      <c r="T29" s="318"/>
    </row>
    <row r="30" spans="1:20" ht="14.1" customHeight="1" x14ac:dyDescent="0.2">
      <c r="A30" t="s">
        <v>44</v>
      </c>
      <c r="B30" s="50" t="str">
        <f>HLOOKUP($Q$5,'Data Sheet'!$B$2:$BA$23,17,FALSE)</f>
        <v>A16</v>
      </c>
      <c r="C30" s="450" t="str">
        <f>IF(Worksheet!C30&gt;0,Worksheet!C30," ")</f>
        <v xml:space="preserve"> </v>
      </c>
      <c r="D30" s="450" t="str">
        <f>IF(Worksheet!D30&gt;0,Worksheet!D30," ")</f>
        <v xml:space="preserve"> </v>
      </c>
      <c r="E30" s="450" t="str">
        <f>IF(Worksheet!E30&gt;0,Worksheet!E30," ")</f>
        <v xml:space="preserve"> </v>
      </c>
      <c r="F30" s="450" t="str">
        <f>IF(Worksheet!F30&gt;0,Worksheet!F30," ")</f>
        <v xml:space="preserve"> </v>
      </c>
      <c r="G30" s="234" t="s">
        <v>4</v>
      </c>
      <c r="H30" s="450" t="str">
        <f>IF(Worksheet!H30&gt;0,Worksheet!H30," ")</f>
        <v xml:space="preserve"> </v>
      </c>
      <c r="I30" s="450" t="str">
        <f>IF(Worksheet!I30&gt;0,Worksheet!I30," ")</f>
        <v xml:space="preserve"> </v>
      </c>
      <c r="J30" s="450" t="str">
        <f>IF(Worksheet!J30&gt;0,Worksheet!J30," ")</f>
        <v xml:space="preserve"> </v>
      </c>
      <c r="K30" s="450" t="str">
        <f>IF(Worksheet!K30&gt;0,Worksheet!K30," ")</f>
        <v xml:space="preserve"> </v>
      </c>
      <c r="L30" s="450" t="str">
        <f>IF(Worksheet!L30&gt;0,Worksheet!L30," ")</f>
        <v>Sealed</v>
      </c>
      <c r="M30" s="450" t="str">
        <f>IF(Worksheet!M30&gt;0,Worksheet!M30," ")</f>
        <v xml:space="preserve"> </v>
      </c>
      <c r="N30" s="450" t="str">
        <f>IF(Worksheet!N30&gt;0,Worksheet!N30," ")</f>
        <v xml:space="preserve"> </v>
      </c>
      <c r="O30" s="450" t="str">
        <f>IF(Worksheet!O30&gt;0,Worksheet!O30," ")</f>
        <v xml:space="preserve"> </v>
      </c>
      <c r="P30" s="450" t="str">
        <f>IF(Worksheet!P30&gt;0,Worksheet!P30," ")</f>
        <v xml:space="preserve"> </v>
      </c>
      <c r="Q30" s="450" t="str">
        <f>IF(Worksheet!Q30&gt;0,Worksheet!Q30," ")</f>
        <v xml:space="preserve"> </v>
      </c>
      <c r="R30" s="450" t="str">
        <f>IF(Worksheet!R30&gt;0,Worksheet!R30," ")</f>
        <v xml:space="preserve"> </v>
      </c>
      <c r="S30" s="450" t="str">
        <f>IF(Worksheet!S30&gt;0,Worksheet!S30," ")</f>
        <v xml:space="preserve"> </v>
      </c>
      <c r="T30" s="318"/>
    </row>
    <row r="31" spans="1:20" ht="14.1" customHeight="1" x14ac:dyDescent="0.2">
      <c r="A31" t="s">
        <v>45</v>
      </c>
      <c r="B31" s="50" t="str">
        <f>HLOOKUP($Q$5,'Data Sheet'!$B$2:$BA$23,18,FALSE)</f>
        <v>A17</v>
      </c>
      <c r="C31" s="450" t="str">
        <f>IF(Worksheet!C31&gt;0,Worksheet!C31," ")</f>
        <v xml:space="preserve"> </v>
      </c>
      <c r="D31" s="450" t="str">
        <f>IF(Worksheet!D31&gt;0,Worksheet!D31," ")</f>
        <v xml:space="preserve"> </v>
      </c>
      <c r="E31" s="450" t="str">
        <f>IF(Worksheet!E31&gt;0,Worksheet!E31," ")</f>
        <v xml:space="preserve"> </v>
      </c>
      <c r="F31" s="450" t="str">
        <f>IF(Worksheet!F31&gt;0,Worksheet!F31," ")</f>
        <v xml:space="preserve"> </v>
      </c>
      <c r="G31" s="234" t="s">
        <v>4</v>
      </c>
      <c r="H31" s="450" t="str">
        <f>IF(Worksheet!H31&gt;0,Worksheet!H31," ")</f>
        <v xml:space="preserve"> </v>
      </c>
      <c r="I31" s="450" t="str">
        <f>IF(Worksheet!I31&gt;0,Worksheet!I31," ")</f>
        <v xml:space="preserve"> </v>
      </c>
      <c r="J31" s="450" t="str">
        <f>IF(Worksheet!J31&gt;0,Worksheet!J31," ")</f>
        <v xml:space="preserve"> </v>
      </c>
      <c r="K31" s="450" t="str">
        <f>IF(Worksheet!K31&gt;0,Worksheet!K31," ")</f>
        <v xml:space="preserve"> </v>
      </c>
      <c r="L31" s="450" t="str">
        <f>IF(Worksheet!L31&gt;0,Worksheet!L31," ")</f>
        <v>Sealed</v>
      </c>
      <c r="M31" s="450" t="str">
        <f>IF(Worksheet!M31&gt;0,Worksheet!M31," ")</f>
        <v xml:space="preserve"> </v>
      </c>
      <c r="N31" s="450" t="str">
        <f>IF(Worksheet!N31&gt;0,Worksheet!N31," ")</f>
        <v xml:space="preserve"> </v>
      </c>
      <c r="O31" s="450" t="str">
        <f>IF(Worksheet!O31&gt;0,Worksheet!O31," ")</f>
        <v xml:space="preserve"> </v>
      </c>
      <c r="P31" s="450" t="str">
        <f>IF(Worksheet!P31&gt;0,Worksheet!P31," ")</f>
        <v xml:space="preserve"> </v>
      </c>
      <c r="Q31" s="450" t="str">
        <f>IF(Worksheet!Q31&gt;0,Worksheet!Q31," ")</f>
        <v xml:space="preserve"> </v>
      </c>
      <c r="R31" s="450" t="str">
        <f>IF(Worksheet!R31&gt;0,Worksheet!R31," ")</f>
        <v xml:space="preserve"> </v>
      </c>
      <c r="S31" s="450" t="str">
        <f>IF(Worksheet!S31&gt;0,Worksheet!S31," ")</f>
        <v xml:space="preserve"> </v>
      </c>
      <c r="T31" s="318"/>
    </row>
    <row r="32" spans="1:20" ht="14.1" customHeight="1" x14ac:dyDescent="0.2">
      <c r="A32" t="s">
        <v>46</v>
      </c>
      <c r="B32" s="50" t="str">
        <f>HLOOKUP($Q$5,'Data Sheet'!$B$2:$BA$23,19,FALSE)</f>
        <v>A18</v>
      </c>
      <c r="C32" s="450" t="str">
        <f>IF(Worksheet!C32&gt;0,Worksheet!C32," ")</f>
        <v xml:space="preserve"> </v>
      </c>
      <c r="D32" s="450" t="str">
        <f>IF(Worksheet!D32&gt;0,Worksheet!D32," ")</f>
        <v xml:space="preserve"> </v>
      </c>
      <c r="E32" s="450" t="str">
        <f>IF(Worksheet!E32&gt;0,Worksheet!E32," ")</f>
        <v xml:space="preserve"> </v>
      </c>
      <c r="F32" s="450" t="str">
        <f>IF(Worksheet!F32&gt;0,Worksheet!F32," ")</f>
        <v xml:space="preserve"> </v>
      </c>
      <c r="G32" s="234" t="s">
        <v>4</v>
      </c>
      <c r="H32" s="450" t="str">
        <f>IF(Worksheet!H32&gt;0,Worksheet!H32," ")</f>
        <v xml:space="preserve"> </v>
      </c>
      <c r="I32" s="450" t="str">
        <f>IF(Worksheet!I32&gt;0,Worksheet!I32," ")</f>
        <v xml:space="preserve"> </v>
      </c>
      <c r="J32" s="450" t="str">
        <f>IF(Worksheet!J32&gt;0,Worksheet!J32," ")</f>
        <v xml:space="preserve"> </v>
      </c>
      <c r="K32" s="450" t="str">
        <f>IF(Worksheet!K32&gt;0,Worksheet!K32," ")</f>
        <v xml:space="preserve"> </v>
      </c>
      <c r="L32" s="450" t="str">
        <f>IF(Worksheet!L32&gt;0,Worksheet!L32," ")</f>
        <v>Sealed</v>
      </c>
      <c r="M32" s="450" t="str">
        <f>IF(Worksheet!M32&gt;0,Worksheet!M32," ")</f>
        <v xml:space="preserve"> </v>
      </c>
      <c r="N32" s="450" t="str">
        <f>IF(Worksheet!N32&gt;0,Worksheet!N32," ")</f>
        <v xml:space="preserve"> </v>
      </c>
      <c r="O32" s="450" t="str">
        <f>IF(Worksheet!O32&gt;0,Worksheet!O32," ")</f>
        <v xml:space="preserve"> </v>
      </c>
      <c r="P32" s="450" t="str">
        <f>IF(Worksheet!P32&gt;0,Worksheet!P32," ")</f>
        <v xml:space="preserve"> </v>
      </c>
      <c r="Q32" s="450" t="str">
        <f>IF(Worksheet!Q32&gt;0,Worksheet!Q32," ")</f>
        <v xml:space="preserve"> </v>
      </c>
      <c r="R32" s="450" t="str">
        <f>IF(Worksheet!R32&gt;0,Worksheet!R32," ")</f>
        <v xml:space="preserve"> </v>
      </c>
      <c r="S32" s="450" t="str">
        <f>IF(Worksheet!S32&gt;0,Worksheet!S32," ")</f>
        <v xml:space="preserve"> </v>
      </c>
      <c r="T32" s="318"/>
    </row>
    <row r="33" spans="1:20" ht="14.1" customHeight="1" x14ac:dyDescent="0.2">
      <c r="A33" t="s">
        <v>47</v>
      </c>
      <c r="B33" s="50" t="str">
        <f>HLOOKUP($Q$5,'Data Sheet'!$B$2:$BA$23,20,FALSE)</f>
        <v>A19</v>
      </c>
      <c r="C33" s="450" t="str">
        <f>IF(Worksheet!C33&gt;0,Worksheet!C33," ")</f>
        <v xml:space="preserve"> </v>
      </c>
      <c r="D33" s="450" t="str">
        <f>IF(Worksheet!D33&gt;0,Worksheet!D33," ")</f>
        <v xml:space="preserve"> </v>
      </c>
      <c r="E33" s="450" t="str">
        <f>IF(Worksheet!E33&gt;0,Worksheet!E33," ")</f>
        <v xml:space="preserve"> </v>
      </c>
      <c r="F33" s="450" t="str">
        <f>IF(Worksheet!F33&gt;0,Worksheet!F33," ")</f>
        <v xml:space="preserve"> </v>
      </c>
      <c r="G33" s="234" t="s">
        <v>4</v>
      </c>
      <c r="H33" s="450" t="str">
        <f>IF(Worksheet!H33&gt;0,Worksheet!H33," ")</f>
        <v xml:space="preserve"> </v>
      </c>
      <c r="I33" s="450" t="str">
        <f>IF(Worksheet!I33&gt;0,Worksheet!I33," ")</f>
        <v xml:space="preserve"> </v>
      </c>
      <c r="J33" s="450" t="str">
        <f>IF(Worksheet!J33&gt;0,Worksheet!J33," ")</f>
        <v xml:space="preserve"> </v>
      </c>
      <c r="K33" s="450" t="str">
        <f>IF(Worksheet!K33&gt;0,Worksheet!K33," ")</f>
        <v xml:space="preserve"> </v>
      </c>
      <c r="L33" s="450" t="str">
        <f>IF(Worksheet!L33&gt;0,Worksheet!L33," ")</f>
        <v>Sealed</v>
      </c>
      <c r="M33" s="450" t="str">
        <f>IF(Worksheet!M33&gt;0,Worksheet!M33," ")</f>
        <v xml:space="preserve"> </v>
      </c>
      <c r="N33" s="450" t="str">
        <f>IF(Worksheet!N33&gt;0,Worksheet!N33," ")</f>
        <v xml:space="preserve"> </v>
      </c>
      <c r="O33" s="450" t="str">
        <f>IF(Worksheet!O33&gt;0,Worksheet!O33," ")</f>
        <v xml:space="preserve"> </v>
      </c>
      <c r="P33" s="450" t="str">
        <f>IF(Worksheet!P33&gt;0,Worksheet!P33," ")</f>
        <v xml:space="preserve"> </v>
      </c>
      <c r="Q33" s="450" t="str">
        <f>IF(Worksheet!Q33&gt;0,Worksheet!Q33," ")</f>
        <v xml:space="preserve"> </v>
      </c>
      <c r="R33" s="450" t="str">
        <f>IF(Worksheet!R33&gt;0,Worksheet!R33," ")</f>
        <v xml:space="preserve"> </v>
      </c>
      <c r="S33" s="450" t="str">
        <f>IF(Worksheet!S33&gt;0,Worksheet!S33," ")</f>
        <v xml:space="preserve"> </v>
      </c>
      <c r="T33" s="318"/>
    </row>
    <row r="34" spans="1:20" ht="14.1" customHeight="1" x14ac:dyDescent="0.2">
      <c r="A34" t="s">
        <v>48</v>
      </c>
      <c r="B34" s="50" t="str">
        <f>HLOOKUP($Q$5,'Data Sheet'!$B$2:$BA$23,21,FALSE)</f>
        <v>A20</v>
      </c>
      <c r="C34" s="450" t="str">
        <f>IF(Worksheet!C34&gt;0,Worksheet!C34," ")</f>
        <v xml:space="preserve"> </v>
      </c>
      <c r="D34" s="450" t="str">
        <f>IF(Worksheet!D34&gt;0,Worksheet!D34," ")</f>
        <v xml:space="preserve"> </v>
      </c>
      <c r="E34" s="450" t="str">
        <f>IF(Worksheet!E34&gt;0,Worksheet!E34," ")</f>
        <v xml:space="preserve"> </v>
      </c>
      <c r="F34" s="450" t="str">
        <f>IF(Worksheet!F34&gt;0,Worksheet!F34," ")</f>
        <v xml:space="preserve"> </v>
      </c>
      <c r="G34" s="234" t="s">
        <v>4</v>
      </c>
      <c r="H34" s="450" t="str">
        <f>IF(Worksheet!H34&gt;0,Worksheet!H34," ")</f>
        <v xml:space="preserve"> </v>
      </c>
      <c r="I34" s="450" t="str">
        <f>IF(Worksheet!I34&gt;0,Worksheet!I34," ")</f>
        <v xml:space="preserve"> </v>
      </c>
      <c r="J34" s="450" t="str">
        <f>IF(Worksheet!J34&gt;0,Worksheet!J34," ")</f>
        <v xml:space="preserve"> </v>
      </c>
      <c r="K34" s="450" t="str">
        <f>IF(Worksheet!K34&gt;0,Worksheet!K34," ")</f>
        <v xml:space="preserve"> </v>
      </c>
      <c r="L34" s="450" t="str">
        <f>IF(Worksheet!L34&gt;0,Worksheet!L34," ")</f>
        <v>Sealed</v>
      </c>
      <c r="M34" s="450" t="str">
        <f>IF(Worksheet!M34&gt;0,Worksheet!M34," ")</f>
        <v xml:space="preserve"> </v>
      </c>
      <c r="N34" s="450" t="str">
        <f>IF(Worksheet!N34&gt;0,Worksheet!N34," ")</f>
        <v xml:space="preserve"> </v>
      </c>
      <c r="O34" s="450" t="str">
        <f>IF(Worksheet!O34&gt;0,Worksheet!O34," ")</f>
        <v xml:space="preserve"> </v>
      </c>
      <c r="P34" s="450" t="str">
        <f>IF(Worksheet!P34&gt;0,Worksheet!P34," ")</f>
        <v xml:space="preserve"> </v>
      </c>
      <c r="Q34" s="450" t="str">
        <f>IF(Worksheet!Q34&gt;0,Worksheet!Q34," ")</f>
        <v xml:space="preserve"> </v>
      </c>
      <c r="R34" s="450" t="str">
        <f>IF(Worksheet!R34&gt;0,Worksheet!R34," ")</f>
        <v xml:space="preserve"> </v>
      </c>
      <c r="S34" s="450" t="str">
        <f>IF(Worksheet!S34&gt;0,Worksheet!S34," ")</f>
        <v xml:space="preserve"> </v>
      </c>
      <c r="T34" s="318"/>
    </row>
    <row r="35" spans="1:20" s="7" customFormat="1" ht="15.05" x14ac:dyDescent="0.25">
      <c r="B35" s="77"/>
      <c r="C35" s="486">
        <f>SUM(D15:D34)</f>
        <v>6</v>
      </c>
      <c r="D35" s="486"/>
      <c r="E35" s="7" t="s">
        <v>8</v>
      </c>
      <c r="F35" s="79"/>
      <c r="G35" s="78"/>
      <c r="H35" s="79"/>
    </row>
    <row r="36" spans="1:20" ht="15.05" x14ac:dyDescent="0.25">
      <c r="B36" s="74" t="s">
        <v>81</v>
      </c>
      <c r="C36" s="7"/>
      <c r="D36" s="78"/>
      <c r="E36" s="75"/>
      <c r="F36" s="79"/>
      <c r="G36" s="78"/>
      <c r="H36" s="335"/>
      <c r="I36" s="7"/>
      <c r="P36" s="7"/>
      <c r="Q36" s="533" t="s">
        <v>186</v>
      </c>
      <c r="R36" s="534"/>
      <c r="S36" s="535"/>
      <c r="T36" s="292"/>
    </row>
    <row r="37" spans="1:20" ht="15.05" customHeight="1" x14ac:dyDescent="0.25">
      <c r="E37" s="75"/>
      <c r="Q37" s="536" t="s">
        <v>78</v>
      </c>
      <c r="R37" s="537"/>
      <c r="S37" s="538"/>
      <c r="T37" s="292"/>
    </row>
    <row r="38" spans="1:20" ht="15.05" customHeight="1" thickBot="1" x14ac:dyDescent="0.25">
      <c r="D38"/>
      <c r="F38" s="5"/>
      <c r="H38" s="6"/>
      <c r="Q38" s="539"/>
      <c r="R38" s="539"/>
      <c r="S38" s="539"/>
      <c r="T38" s="293"/>
    </row>
    <row r="39" spans="1:20" ht="15.05" customHeight="1" thickBot="1" x14ac:dyDescent="0.35">
      <c r="D39"/>
      <c r="F39" s="5"/>
      <c r="H39" s="6"/>
      <c r="L39" s="500" t="s">
        <v>188</v>
      </c>
      <c r="M39" s="501"/>
      <c r="N39" s="501"/>
      <c r="O39" s="371" t="str">
        <f>Worksheet!O39</f>
        <v>Heidi Galieti</v>
      </c>
      <c r="Q39" s="539"/>
      <c r="R39" s="539"/>
      <c r="S39" s="539"/>
      <c r="T39" s="293"/>
    </row>
    <row r="40" spans="1:20" ht="15.05" customHeight="1" x14ac:dyDescent="0.25">
      <c r="C40" s="133"/>
      <c r="D40" s="449"/>
      <c r="Q40" s="7"/>
      <c r="R40" s="7"/>
      <c r="S40" s="7"/>
      <c r="T40" s="7"/>
    </row>
    <row r="41" spans="1:20" ht="15.05" customHeight="1" x14ac:dyDescent="0.2"/>
    <row r="51" spans="1:22" x14ac:dyDescent="0.2">
      <c r="C51" s="132"/>
      <c r="H51" s="6"/>
      <c r="J51" s="4"/>
      <c r="L51" s="6"/>
      <c r="M51" s="6"/>
      <c r="O51" s="4"/>
      <c r="Q51" s="6"/>
      <c r="S51" s="4"/>
      <c r="T51" s="4"/>
      <c r="V51" s="4"/>
    </row>
    <row r="52" spans="1:22" x14ac:dyDescent="0.2">
      <c r="A52" s="133"/>
    </row>
  </sheetData>
  <dataConsolidate/>
  <mergeCells count="12">
    <mergeCell ref="C35:D35"/>
    <mergeCell ref="Q7:S7"/>
    <mergeCell ref="L5:O5"/>
    <mergeCell ref="L6:O6"/>
    <mergeCell ref="L7:O7"/>
    <mergeCell ref="S2:T2"/>
    <mergeCell ref="Q36:S36"/>
    <mergeCell ref="Q37:S37"/>
    <mergeCell ref="Q38:S39"/>
    <mergeCell ref="L39:N39"/>
    <mergeCell ref="I8:O11"/>
    <mergeCell ref="L12:O12"/>
  </mergeCells>
  <conditionalFormatting sqref="Q7:S7">
    <cfRule type="containsBlanks" dxfId="1" priority="6">
      <formula>LEN(TRIM(Q7))=0</formula>
    </cfRule>
  </conditionalFormatting>
  <pageMargins left="0.5" right="0.5" top="0.5" bottom="0.5" header="0.25" footer="0.25"/>
  <pageSetup scale="85" fitToWidth="2" orientation="landscape" r:id="rId1"/>
  <headerFooter alignWithMargins="0">
    <oddHeader>&amp;Z&amp;F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Check Box 1">
              <controlPr defaultSize="0" autoFill="0" autoLine="0" autoPict="0">
                <anchor moveWithCells="1">
                  <from>
                    <xdr:col>20</xdr:col>
                    <xdr:colOff>0</xdr:colOff>
                    <xdr:row>6</xdr:row>
                    <xdr:rowOff>141316</xdr:rowOff>
                  </from>
                  <to>
                    <xdr:col>21</xdr:col>
                    <xdr:colOff>440575</xdr:colOff>
                    <xdr:row>8</xdr:row>
                    <xdr:rowOff>41564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Group Box 2">
              <controlPr defaultSize="0" autoFill="0" autoPict="0">
                <anchor moveWithCells="1">
                  <from>
                    <xdr:col>15</xdr:col>
                    <xdr:colOff>955964</xdr:colOff>
                    <xdr:row>7</xdr:row>
                    <xdr:rowOff>133004</xdr:rowOff>
                  </from>
                  <to>
                    <xdr:col>17</xdr:col>
                    <xdr:colOff>324196</xdr:colOff>
                    <xdr:row>11</xdr:row>
                    <xdr:rowOff>24938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6" name="Option Button 3">
              <controlPr defaultSize="0" autoFill="0" autoLine="0" autoPict="0">
                <anchor moveWithCells="1">
                  <from>
                    <xdr:col>15</xdr:col>
                    <xdr:colOff>1022465</xdr:colOff>
                    <xdr:row>8</xdr:row>
                    <xdr:rowOff>24938</xdr:rowOff>
                  </from>
                  <to>
                    <xdr:col>15</xdr:col>
                    <xdr:colOff>1620982</xdr:colOff>
                    <xdr:row>9</xdr:row>
                    <xdr:rowOff>83127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7" name="Option Button 4">
              <controlPr defaultSize="0" autoFill="0" autoLine="0" autoPict="0">
                <anchor moveWithCells="1">
                  <from>
                    <xdr:col>15</xdr:col>
                    <xdr:colOff>1005840</xdr:colOff>
                    <xdr:row>9</xdr:row>
                    <xdr:rowOff>91440</xdr:rowOff>
                  </from>
                  <to>
                    <xdr:col>15</xdr:col>
                    <xdr:colOff>1620982</xdr:colOff>
                    <xdr:row>10</xdr:row>
                    <xdr:rowOff>149629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8" name="Option Button 5">
              <controlPr defaultSize="0" autoFill="0" autoLine="0" autoPict="0">
                <anchor moveWithCells="1">
                  <from>
                    <xdr:col>15</xdr:col>
                    <xdr:colOff>1712422</xdr:colOff>
                    <xdr:row>8</xdr:row>
                    <xdr:rowOff>16625</xdr:rowOff>
                  </from>
                  <to>
                    <xdr:col>17</xdr:col>
                    <xdr:colOff>249382</xdr:colOff>
                    <xdr:row>9</xdr:row>
                    <xdr:rowOff>74815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9" name="Check Box 6">
              <controlPr defaultSize="0" autoFill="0" autoLine="0" autoPict="0">
                <anchor moveWithCells="1">
                  <from>
                    <xdr:col>15</xdr:col>
                    <xdr:colOff>997527</xdr:colOff>
                    <xdr:row>11</xdr:row>
                    <xdr:rowOff>24938</xdr:rowOff>
                  </from>
                  <to>
                    <xdr:col>17</xdr:col>
                    <xdr:colOff>141316</xdr:colOff>
                    <xdr:row>12</xdr:row>
                    <xdr:rowOff>16625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10" name="Check Box 7">
              <controlPr defaultSize="0" autoFill="0" autoLine="0" autoPict="0">
                <anchor moveWithCells="1">
                  <from>
                    <xdr:col>15</xdr:col>
                    <xdr:colOff>997527</xdr:colOff>
                    <xdr:row>11</xdr:row>
                    <xdr:rowOff>24938</xdr:rowOff>
                  </from>
                  <to>
                    <xdr:col>17</xdr:col>
                    <xdr:colOff>141316</xdr:colOff>
                    <xdr:row>12</xdr:row>
                    <xdr:rowOff>16625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30A8C3D3-5DAC-4FFA-8331-87E1D0204355}">
          <x14:formula1>
            <xm:f>'Data Sheet'!$B$48:$B$50</xm:f>
          </x14:formula1>
          <xm:sqref>T15:T34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3F23D-B4F4-4E4C-894A-B4B276F75E21}">
  <dimension ref="A1:V52"/>
  <sheetViews>
    <sheetView showGridLines="0" view="pageBreakPreview" zoomScaleNormal="100" workbookViewId="0">
      <selection activeCell="S2" sqref="S2:T2"/>
    </sheetView>
  </sheetViews>
  <sheetFormatPr defaultColWidth="8.875" defaultRowHeight="12.45" x14ac:dyDescent="0.2"/>
  <cols>
    <col min="2" max="2" width="5.25" style="50" customWidth="1"/>
    <col min="3" max="3" width="12.25" customWidth="1"/>
    <col min="4" max="4" width="3.125" style="6" customWidth="1"/>
    <col min="5" max="5" width="9.625" customWidth="1"/>
    <col min="6" max="6" width="7" style="4" customWidth="1"/>
    <col min="7" max="7" width="2.125" style="6" customWidth="1"/>
    <col min="8" max="8" width="7" style="4" customWidth="1"/>
    <col min="9" max="9" width="3.375" customWidth="1"/>
    <col min="10" max="10" width="4.125" customWidth="1"/>
    <col min="11" max="11" width="6.625" customWidth="1"/>
    <col min="12" max="12" width="6.75" customWidth="1"/>
    <col min="13" max="14" width="4.375" customWidth="1"/>
    <col min="15" max="15" width="23.25" customWidth="1"/>
    <col min="16" max="16" width="28.375" customWidth="1"/>
    <col min="17" max="17" width="3.25" customWidth="1"/>
    <col min="18" max="18" width="6.75" customWidth="1"/>
    <col min="19" max="19" width="8.125" customWidth="1"/>
    <col min="20" max="20" width="5.375" customWidth="1"/>
  </cols>
  <sheetData>
    <row r="1" spans="1:22" ht="7.55" customHeight="1" x14ac:dyDescent="0.2"/>
    <row r="2" spans="1:22" ht="25.55" x14ac:dyDescent="0.4">
      <c r="K2" s="228" t="s">
        <v>240</v>
      </c>
      <c r="P2" s="89"/>
      <c r="Q2" s="136"/>
      <c r="R2" s="58" t="s">
        <v>1407</v>
      </c>
      <c r="S2" s="549">
        <f>IF(Worksheet!AE2&gt;0,Worksheet!AE2," ")</f>
        <v>30894</v>
      </c>
      <c r="T2" s="550" t="str">
        <f>IF(Worksheet!T2&gt;0,Worksheet!T2," ")</f>
        <v xml:space="preserve"> </v>
      </c>
    </row>
    <row r="3" spans="1:22" ht="14.25" customHeight="1" x14ac:dyDescent="0.2">
      <c r="B3" s="52"/>
      <c r="K3" s="436" t="str">
        <f>IF(Worksheet!K3&gt;0,Worksheet!K3," ")</f>
        <v>*Final Measurements*</v>
      </c>
      <c r="Q3" s="136"/>
    </row>
    <row r="4" spans="1:22" ht="11.95" customHeight="1" x14ac:dyDescent="0.2">
      <c r="D4" s="54"/>
      <c r="P4" s="55"/>
      <c r="Q4" s="137"/>
      <c r="R4" s="55"/>
      <c r="S4" s="55"/>
      <c r="T4" s="55"/>
    </row>
    <row r="5" spans="1:22" x14ac:dyDescent="0.2">
      <c r="B5" s="543" t="s">
        <v>1408</v>
      </c>
      <c r="C5" s="543"/>
      <c r="D5" s="543"/>
      <c r="E5" s="543"/>
      <c r="F5" s="543"/>
      <c r="G5" s="543"/>
      <c r="H5" s="543"/>
      <c r="I5" s="543"/>
      <c r="M5" s="132" t="str">
        <f>IF(Worksheet!M5&gt;0,Worksheet!M5," ")</f>
        <v xml:space="preserve"> </v>
      </c>
      <c r="N5" s="56" t="s">
        <v>1</v>
      </c>
      <c r="O5" s="448" t="str">
        <f>IF(Worksheet!L5&gt;0,Worksheet!L5," ")</f>
        <v>Pago Pago Temple Endowment Change Order</v>
      </c>
      <c r="P5" s="229" t="s">
        <v>203</v>
      </c>
      <c r="Q5" s="450">
        <f>IF(Worksheet!Q5&gt;0,Worksheet!Q5," ")</f>
        <v>1</v>
      </c>
      <c r="R5" s="139"/>
      <c r="S5" s="57"/>
      <c r="T5" s="57"/>
    </row>
    <row r="6" spans="1:22" x14ac:dyDescent="0.2">
      <c r="B6" s="543"/>
      <c r="C6" s="543"/>
      <c r="D6" s="543"/>
      <c r="E6" s="543"/>
      <c r="F6" s="543"/>
      <c r="G6" s="543"/>
      <c r="H6" s="543"/>
      <c r="I6" s="543"/>
      <c r="M6" s="132" t="str">
        <f>IF(Worksheet!M6&gt;0,Worksheet!M6," ")</f>
        <v xml:space="preserve"> </v>
      </c>
      <c r="O6" s="448" t="str">
        <f>IF(Worksheet!L6&gt;0,Worksheet!L6," ")</f>
        <v xml:space="preserve"> </v>
      </c>
      <c r="P6" s="139"/>
      <c r="Q6" s="138"/>
      <c r="R6" s="138"/>
    </row>
    <row r="7" spans="1:22" ht="13.1" x14ac:dyDescent="0.25">
      <c r="B7" s="543"/>
      <c r="C7" s="543"/>
      <c r="D7" s="543"/>
      <c r="E7" s="543"/>
      <c r="F7" s="543"/>
      <c r="G7" s="543"/>
      <c r="H7" s="543"/>
      <c r="I7" s="543"/>
      <c r="M7" s="132" t="str">
        <f>IF(Worksheet!M7&gt;0,Worksheet!M7," ")</f>
        <v xml:space="preserve"> </v>
      </c>
      <c r="O7" s="448" t="str">
        <f>IF(Worksheet!L7&gt;0,Worksheet!L7," ")</f>
        <v>Pago Pago, American Samoa</v>
      </c>
      <c r="P7" s="341" t="s">
        <v>834</v>
      </c>
      <c r="Q7" s="542" t="s">
        <v>77</v>
      </c>
      <c r="R7" s="474"/>
      <c r="S7" s="475"/>
    </row>
    <row r="8" spans="1:22" ht="12.8" customHeight="1" x14ac:dyDescent="0.3">
      <c r="B8" s="460"/>
      <c r="C8" s="461"/>
      <c r="D8" s="462"/>
      <c r="E8" s="462"/>
      <c r="F8" s="462"/>
      <c r="G8" s="462"/>
      <c r="H8" s="462"/>
      <c r="I8" s="462"/>
      <c r="J8" s="459"/>
      <c r="M8" s="459"/>
      <c r="N8" s="459"/>
      <c r="O8" s="448" t="str">
        <f>IF(Worksheet!L8&gt;0,Worksheet!L8," ")</f>
        <v xml:space="preserve"> </v>
      </c>
      <c r="P8" s="139"/>
      <c r="Q8" s="138"/>
      <c r="R8" s="138"/>
    </row>
    <row r="9" spans="1:22" ht="12.8" customHeight="1" x14ac:dyDescent="0.3">
      <c r="B9" s="460"/>
      <c r="C9" s="461"/>
      <c r="D9" s="463" t="s">
        <v>1409</v>
      </c>
      <c r="E9" s="464"/>
      <c r="F9" s="464"/>
      <c r="G9" s="464"/>
      <c r="H9" s="464"/>
      <c r="I9" s="462"/>
      <c r="J9" s="459"/>
      <c r="M9" s="50"/>
      <c r="N9" s="56" t="s">
        <v>177</v>
      </c>
      <c r="O9" s="132" t="str">
        <f>IF(Worksheet!L9&gt;0,Worksheet!L9," ")</f>
        <v>Lowell Nash</v>
      </c>
      <c r="P9" s="139"/>
      <c r="Q9" s="139">
        <v>1</v>
      </c>
      <c r="R9" s="139"/>
      <c r="S9" s="57"/>
      <c r="T9" s="57"/>
    </row>
    <row r="10" spans="1:22" ht="12.8" customHeight="1" x14ac:dyDescent="0.3">
      <c r="B10" s="460"/>
      <c r="C10" s="461"/>
      <c r="D10" s="462"/>
      <c r="E10" s="462"/>
      <c r="F10" s="462"/>
      <c r="G10" s="462"/>
      <c r="H10" s="462"/>
      <c r="I10" s="462"/>
      <c r="J10" s="459"/>
      <c r="M10" s="50"/>
      <c r="N10" s="56" t="s">
        <v>11</v>
      </c>
      <c r="O10" s="448" t="str">
        <f>IF(Worksheet!L10&gt;0,Worksheet!L10," ")</f>
        <v>385-329-7422</v>
      </c>
      <c r="P10" s="139"/>
      <c r="Q10" s="138"/>
      <c r="R10" s="138"/>
    </row>
    <row r="11" spans="1:22" ht="12.8" customHeight="1" x14ac:dyDescent="0.3">
      <c r="B11" s="460"/>
      <c r="C11" s="465"/>
      <c r="D11" s="463" t="s">
        <v>1410</v>
      </c>
      <c r="E11" s="464"/>
      <c r="F11" s="464"/>
      <c r="G11" s="464"/>
      <c r="H11" s="464"/>
      <c r="I11" s="462"/>
      <c r="J11" s="459"/>
      <c r="M11" s="50"/>
      <c r="N11" s="56" t="s">
        <v>5</v>
      </c>
      <c r="O11" s="448" t="str">
        <f>IF(Worksheet!L11&gt;0,Worksheet!L11," ")</f>
        <v>684-256-4061</v>
      </c>
      <c r="P11" s="139"/>
      <c r="Q11" s="138"/>
      <c r="R11" s="138"/>
    </row>
    <row r="12" spans="1:22" ht="18.350000000000001" customHeight="1" x14ac:dyDescent="0.25">
      <c r="C12" s="56"/>
      <c r="D12" s="453"/>
      <c r="E12" s="453"/>
      <c r="F12" s="453"/>
      <c r="G12" s="453"/>
      <c r="H12" s="453"/>
      <c r="I12" s="56"/>
      <c r="K12" s="56"/>
      <c r="L12" s="541"/>
      <c r="M12" s="541"/>
      <c r="N12" s="541"/>
      <c r="O12" s="541"/>
      <c r="P12" s="138"/>
      <c r="Q12" s="140" t="b">
        <v>1</v>
      </c>
      <c r="R12" s="140"/>
      <c r="S12" s="71"/>
      <c r="T12" s="71"/>
    </row>
    <row r="13" spans="1:22" ht="24.75" customHeight="1" x14ac:dyDescent="0.2">
      <c r="P13" s="138"/>
      <c r="Q13" s="141"/>
      <c r="R13" s="141"/>
      <c r="S13" s="123"/>
      <c r="T13" s="123"/>
    </row>
    <row r="14" spans="1:22" s="237" customFormat="1" ht="55.5" customHeight="1" x14ac:dyDescent="0.25">
      <c r="C14" s="239" t="s">
        <v>2</v>
      </c>
      <c r="D14" s="238" t="s">
        <v>12</v>
      </c>
      <c r="E14" s="239" t="s">
        <v>212</v>
      </c>
      <c r="F14" s="240" t="s">
        <v>19</v>
      </c>
      <c r="G14" s="239"/>
      <c r="H14" s="334" t="s">
        <v>25</v>
      </c>
      <c r="I14" s="244" t="s">
        <v>752</v>
      </c>
      <c r="J14" s="290" t="s">
        <v>753</v>
      </c>
      <c r="K14" s="244" t="s">
        <v>754</v>
      </c>
      <c r="L14" s="291" t="s">
        <v>755</v>
      </c>
      <c r="M14" s="290" t="s">
        <v>756</v>
      </c>
      <c r="N14" s="290" t="s">
        <v>757</v>
      </c>
      <c r="O14" s="239" t="s">
        <v>758</v>
      </c>
      <c r="P14" s="311" t="s">
        <v>202</v>
      </c>
      <c r="Q14" s="309" t="s">
        <v>759</v>
      </c>
      <c r="R14" s="310" t="s">
        <v>782</v>
      </c>
      <c r="S14" s="315" t="s">
        <v>818</v>
      </c>
      <c r="T14" s="317"/>
      <c r="U14" s="252"/>
      <c r="V14" s="252"/>
    </row>
    <row r="15" spans="1:22" ht="14.1" customHeight="1" x14ac:dyDescent="0.2">
      <c r="A15" t="s">
        <v>30</v>
      </c>
      <c r="B15" s="50" t="str">
        <f>HLOOKUP($Q$5,'Data Sheet'!$B$2:$BA$23,2,FALSE)</f>
        <v>A1</v>
      </c>
      <c r="C15" s="450">
        <f>IF(Worksheet!C15&gt;0,Worksheet!C15," ")</f>
        <v>134</v>
      </c>
      <c r="D15" s="450">
        <f>IF(Worksheet!D15&gt;0,Worksheet!D15," ")</f>
        <v>1</v>
      </c>
      <c r="E15" s="450" t="str">
        <f>IF(Worksheet!E15&gt;0,Worksheet!E15," ")</f>
        <v>Tube 2.375</v>
      </c>
      <c r="F15" s="450">
        <f>IF(Worksheet!F15&gt;0,Worksheet!F15," ")</f>
        <v>46.375</v>
      </c>
      <c r="G15" s="450" t="str">
        <f>IF(Worksheet!G15&gt;0,Worksheet!G15," ")</f>
        <v>X</v>
      </c>
      <c r="H15" s="450">
        <f>IF(Worksheet!H15&gt;0,Worksheet!H15," ")</f>
        <v>141</v>
      </c>
      <c r="I15" s="450" t="str">
        <f>IF(Worksheet!I15&gt;0,Worksheet!I15," ")</f>
        <v>IB</v>
      </c>
      <c r="J15" s="450" t="str">
        <f>IF(Worksheet!J15&gt;0,Worksheet!J15," ")</f>
        <v>Yes</v>
      </c>
      <c r="K15" s="450" t="str">
        <f>IF(Worksheet!K15&gt;0,Worksheet!K15," ")</f>
        <v xml:space="preserve"> </v>
      </c>
      <c r="L15" s="450" t="str">
        <f>IF(Worksheet!L15&gt;0,Worksheet!L15," ")</f>
        <v>Sealed</v>
      </c>
      <c r="M15" s="450" t="str">
        <f>IF(Worksheet!M15&gt;0,Worksheet!M15," ")</f>
        <v>M</v>
      </c>
      <c r="N15" s="450" t="str">
        <f>IF(Worksheet!N15&gt;0,Worksheet!N15," ")</f>
        <v>I</v>
      </c>
      <c r="O15" s="450" t="str">
        <f>IF(Worksheet!O15&gt;0,Worksheet!O15," ")</f>
        <v>VX Intimate Sing BO, Ivory</v>
      </c>
      <c r="P15" s="450" t="str">
        <f>IF(Worksheet!P15&gt;0,Worksheet!P15," ")</f>
        <v>Panel width - 43 3/4"center on tube</v>
      </c>
      <c r="Q15" s="450" t="str">
        <f>IF(Worksheet!Q15&gt;0,Worksheet!Q15," ")</f>
        <v>V</v>
      </c>
      <c r="R15" s="450" t="str">
        <f>IF(Worksheet!R15&gt;0,Worksheet!R15," ")</f>
        <v>RTS</v>
      </c>
      <c r="S15" s="450" t="str">
        <f>IF(Worksheet!S15&gt;0,Worksheet!S15," ")</f>
        <v xml:space="preserve"> </v>
      </c>
      <c r="T15" s="318"/>
    </row>
    <row r="16" spans="1:22" ht="14.1" customHeight="1" x14ac:dyDescent="0.2">
      <c r="A16" t="s">
        <v>31</v>
      </c>
      <c r="B16" s="50" t="str">
        <f>HLOOKUP($Q$5,'Data Sheet'!$B$2:$BA$23,3,FALSE)</f>
        <v>A2</v>
      </c>
      <c r="C16" s="450">
        <f>IF(Worksheet!C16&gt;0,Worksheet!C16," ")</f>
        <v>134</v>
      </c>
      <c r="D16" s="450">
        <f>IF(Worksheet!D16&gt;0,Worksheet!D16," ")</f>
        <v>1</v>
      </c>
      <c r="E16" s="450" t="str">
        <f>IF(Worksheet!E16&gt;0,Worksheet!E16," ")</f>
        <v>Tube 2.375</v>
      </c>
      <c r="F16" s="450">
        <f>IF(Worksheet!F16&gt;0,Worksheet!F16," ")</f>
        <v>46.5</v>
      </c>
      <c r="G16" s="234" t="s">
        <v>4</v>
      </c>
      <c r="H16" s="450">
        <f>IF(Worksheet!H16&gt;0,Worksheet!H16," ")</f>
        <v>141</v>
      </c>
      <c r="I16" s="450" t="str">
        <f>IF(Worksheet!I16&gt;0,Worksheet!I16," ")</f>
        <v>IB</v>
      </c>
      <c r="J16" s="450" t="str">
        <f>IF(Worksheet!J16&gt;0,Worksheet!J16," ")</f>
        <v>Yes</v>
      </c>
      <c r="K16" s="450" t="str">
        <f>IF(Worksheet!K16&gt;0,Worksheet!K16," ")</f>
        <v xml:space="preserve"> </v>
      </c>
      <c r="L16" s="450" t="str">
        <f>IF(Worksheet!L16&gt;0,Worksheet!L16," ")</f>
        <v>Sealed</v>
      </c>
      <c r="M16" s="450" t="str">
        <f>IF(Worksheet!M16&gt;0,Worksheet!M16," ")</f>
        <v>M</v>
      </c>
      <c r="N16" s="450" t="str">
        <f>IF(Worksheet!N16&gt;0,Worksheet!N16," ")</f>
        <v>I</v>
      </c>
      <c r="O16" s="450" t="str">
        <f>IF(Worksheet!O16&gt;0,Worksheet!O16," ")</f>
        <v>VX Intimate Sing BO, Ivory</v>
      </c>
      <c r="P16" s="450" t="str">
        <f>IF(Worksheet!P16&gt;0,Worksheet!P16," ")</f>
        <v>Panel width - 43 3/4"center on tube</v>
      </c>
      <c r="Q16" s="450" t="str">
        <f>IF(Worksheet!Q16&gt;0,Worksheet!Q16," ")</f>
        <v>V</v>
      </c>
      <c r="R16" s="450" t="str">
        <f>IF(Worksheet!R16&gt;0,Worksheet!R16," ")</f>
        <v>RTS</v>
      </c>
      <c r="S16" s="450" t="str">
        <f>IF(Worksheet!S16&gt;0,Worksheet!S16," ")</f>
        <v xml:space="preserve"> </v>
      </c>
      <c r="T16" s="318"/>
    </row>
    <row r="17" spans="1:20" ht="14.1" customHeight="1" x14ac:dyDescent="0.2">
      <c r="A17" t="s">
        <v>32</v>
      </c>
      <c r="B17" s="50" t="str">
        <f>HLOOKUP($Q$5,'Data Sheet'!$B$2:$BA$23,4,FALSE)</f>
        <v>A3</v>
      </c>
      <c r="C17" s="450">
        <f>IF(Worksheet!C17&gt;0,Worksheet!C17," ")</f>
        <v>135</v>
      </c>
      <c r="D17" s="450">
        <f>IF(Worksheet!D17&gt;0,Worksheet!D17," ")</f>
        <v>1</v>
      </c>
      <c r="E17" s="450" t="str">
        <f>IF(Worksheet!E17&gt;0,Worksheet!E17," ")</f>
        <v>Tube 2.375</v>
      </c>
      <c r="F17" s="450">
        <f>IF(Worksheet!F17&gt;0,Worksheet!F17," ")</f>
        <v>36</v>
      </c>
      <c r="G17" s="234" t="s">
        <v>4</v>
      </c>
      <c r="H17" s="450">
        <f>IF(Worksheet!H17&gt;0,Worksheet!H17," ")</f>
        <v>141</v>
      </c>
      <c r="I17" s="450" t="str">
        <f>IF(Worksheet!I17&gt;0,Worksheet!I17," ")</f>
        <v>IB</v>
      </c>
      <c r="J17" s="450" t="str">
        <f>IF(Worksheet!J17&gt;0,Worksheet!J17," ")</f>
        <v>Yes</v>
      </c>
      <c r="K17" s="450" t="str">
        <f>IF(Worksheet!K17&gt;0,Worksheet!K17," ")</f>
        <v xml:space="preserve"> </v>
      </c>
      <c r="L17" s="450" t="str">
        <f>IF(Worksheet!L17&gt;0,Worksheet!L17," ")</f>
        <v>Sealed</v>
      </c>
      <c r="M17" s="450" t="str">
        <f>IF(Worksheet!M17&gt;0,Worksheet!M17," ")</f>
        <v>M</v>
      </c>
      <c r="N17" s="450" t="str">
        <f>IF(Worksheet!N17&gt;0,Worksheet!N17," ")</f>
        <v>I</v>
      </c>
      <c r="O17" s="450" t="str">
        <f>IF(Worksheet!O17&gt;0,Worksheet!O17," ")</f>
        <v>VX Intimate Sing BO, Ivory</v>
      </c>
      <c r="P17" s="450" t="str">
        <f>IF(Worksheet!P17&gt;0,Worksheet!P17," ")</f>
        <v>Panel width - 30 3/8" center on tube</v>
      </c>
      <c r="Q17" s="450" t="str">
        <f>IF(Worksheet!Q17&gt;0,Worksheet!Q17," ")</f>
        <v>V</v>
      </c>
      <c r="R17" s="450" t="str">
        <f>IF(Worksheet!R17&gt;0,Worksheet!R17," ")</f>
        <v>RTS</v>
      </c>
      <c r="S17" s="450" t="str">
        <f>IF(Worksheet!S17&gt;0,Worksheet!S17," ")</f>
        <v xml:space="preserve"> </v>
      </c>
      <c r="T17" s="318"/>
    </row>
    <row r="18" spans="1:20" ht="14.1" customHeight="1" x14ac:dyDescent="0.2">
      <c r="A18" t="s">
        <v>29</v>
      </c>
      <c r="B18" s="50" t="str">
        <f>HLOOKUP($Q$5,'Data Sheet'!$B$2:$BA$23,5,FALSE)</f>
        <v>A4</v>
      </c>
      <c r="C18" s="450">
        <f>IF(Worksheet!C18&gt;0,Worksheet!C18," ")</f>
        <v>139</v>
      </c>
      <c r="D18" s="450">
        <f>IF(Worksheet!D18&gt;0,Worksheet!D18," ")</f>
        <v>1</v>
      </c>
      <c r="E18" s="450" t="str">
        <f>IF(Worksheet!E18&gt;0,Worksheet!E18," ")</f>
        <v>Tube 2.375</v>
      </c>
      <c r="F18" s="450">
        <f>IF(Worksheet!F18&gt;0,Worksheet!F18," ")</f>
        <v>36</v>
      </c>
      <c r="G18" s="234" t="s">
        <v>4</v>
      </c>
      <c r="H18" s="450">
        <f>IF(Worksheet!H18&gt;0,Worksheet!H18," ")</f>
        <v>141</v>
      </c>
      <c r="I18" s="450" t="str">
        <f>IF(Worksheet!I18&gt;0,Worksheet!I18," ")</f>
        <v>IB</v>
      </c>
      <c r="J18" s="450" t="str">
        <f>IF(Worksheet!J18&gt;0,Worksheet!J18," ")</f>
        <v>Yes</v>
      </c>
      <c r="K18" s="450" t="str">
        <f>IF(Worksheet!K18&gt;0,Worksheet!K18," ")</f>
        <v xml:space="preserve"> </v>
      </c>
      <c r="L18" s="450" t="str">
        <f>IF(Worksheet!L18&gt;0,Worksheet!L18," ")</f>
        <v>Sealed</v>
      </c>
      <c r="M18" s="450" t="str">
        <f>IF(Worksheet!M18&gt;0,Worksheet!M18," ")</f>
        <v>M</v>
      </c>
      <c r="N18" s="450" t="str">
        <f>IF(Worksheet!N18&gt;0,Worksheet!N18," ")</f>
        <v>I</v>
      </c>
      <c r="O18" s="450" t="str">
        <f>IF(Worksheet!O18&gt;0,Worksheet!O18," ")</f>
        <v>VX Intimate Sing BO, Ivory</v>
      </c>
      <c r="P18" s="450" t="str">
        <f>IF(Worksheet!P18&gt;0,Worksheet!P18," ")</f>
        <v>Panel width - 30 3/8" center on tube</v>
      </c>
      <c r="Q18" s="450" t="str">
        <f>IF(Worksheet!Q18&gt;0,Worksheet!Q18," ")</f>
        <v>V</v>
      </c>
      <c r="R18" s="450" t="str">
        <f>IF(Worksheet!R18&gt;0,Worksheet!R18," ")</f>
        <v>RTS</v>
      </c>
      <c r="S18" s="450" t="str">
        <f>IF(Worksheet!S18&gt;0,Worksheet!S18," ")</f>
        <v xml:space="preserve"> </v>
      </c>
      <c r="T18" s="318"/>
    </row>
    <row r="19" spans="1:20" ht="14.1" customHeight="1" x14ac:dyDescent="0.2">
      <c r="A19" t="s">
        <v>33</v>
      </c>
      <c r="B19" s="50" t="str">
        <f>HLOOKUP($Q$5,'Data Sheet'!$B$2:$BA$23,6,FALSE)</f>
        <v>A5</v>
      </c>
      <c r="C19" s="450">
        <f>IF(Worksheet!C19&gt;0,Worksheet!C19," ")</f>
        <v>140</v>
      </c>
      <c r="D19" s="450">
        <f>IF(Worksheet!D19&gt;0,Worksheet!D19," ")</f>
        <v>1</v>
      </c>
      <c r="E19" s="450" t="str">
        <f>IF(Worksheet!E19&gt;0,Worksheet!E19," ")</f>
        <v>Tube 2.375</v>
      </c>
      <c r="F19" s="450">
        <f>IF(Worksheet!F19&gt;0,Worksheet!F19," ")</f>
        <v>46.375</v>
      </c>
      <c r="G19" s="234" t="s">
        <v>4</v>
      </c>
      <c r="H19" s="450">
        <f>IF(Worksheet!H19&gt;0,Worksheet!H19," ")</f>
        <v>141</v>
      </c>
      <c r="I19" s="450" t="str">
        <f>IF(Worksheet!I19&gt;0,Worksheet!I19," ")</f>
        <v>IB</v>
      </c>
      <c r="J19" s="450" t="str">
        <f>IF(Worksheet!J19&gt;0,Worksheet!J19," ")</f>
        <v>Yes</v>
      </c>
      <c r="K19" s="450" t="str">
        <f>IF(Worksheet!K19&gt;0,Worksheet!K19," ")</f>
        <v xml:space="preserve"> </v>
      </c>
      <c r="L19" s="450" t="str">
        <f>IF(Worksheet!L19&gt;0,Worksheet!L19," ")</f>
        <v>Sealed</v>
      </c>
      <c r="M19" s="450" t="str">
        <f>IF(Worksheet!M19&gt;0,Worksheet!M19," ")</f>
        <v>M</v>
      </c>
      <c r="N19" s="450" t="str">
        <f>IF(Worksheet!N19&gt;0,Worksheet!N19," ")</f>
        <v>I</v>
      </c>
      <c r="O19" s="450" t="str">
        <f>IF(Worksheet!O19&gt;0,Worksheet!O19," ")</f>
        <v>VX Intimate Sing BO, Ivory</v>
      </c>
      <c r="P19" s="450" t="str">
        <f>IF(Worksheet!P19&gt;0,Worksheet!P19," ")</f>
        <v>Panel width - 43 3/4"center on tube</v>
      </c>
      <c r="Q19" s="450" t="str">
        <f>IF(Worksheet!Q19&gt;0,Worksheet!Q19," ")</f>
        <v>V</v>
      </c>
      <c r="R19" s="450" t="str">
        <f>IF(Worksheet!R19&gt;0,Worksheet!R19," ")</f>
        <v>RTS</v>
      </c>
      <c r="S19" s="450" t="str">
        <f>IF(Worksheet!S19&gt;0,Worksheet!S19," ")</f>
        <v xml:space="preserve"> </v>
      </c>
      <c r="T19" s="318"/>
    </row>
    <row r="20" spans="1:20" ht="14.1" customHeight="1" x14ac:dyDescent="0.2">
      <c r="A20" t="s">
        <v>34</v>
      </c>
      <c r="B20" s="50" t="str">
        <f>HLOOKUP($Q$5,'Data Sheet'!$B$2:$BA$23,7,FALSE)</f>
        <v>A6</v>
      </c>
      <c r="C20" s="450">
        <f>IF(Worksheet!C20&gt;0,Worksheet!C20," ")</f>
        <v>140</v>
      </c>
      <c r="D20" s="450">
        <f>IF(Worksheet!D20&gt;0,Worksheet!D20," ")</f>
        <v>1</v>
      </c>
      <c r="E20" s="450" t="str">
        <f>IF(Worksheet!E20&gt;0,Worksheet!E20," ")</f>
        <v>Tube 2.375</v>
      </c>
      <c r="F20" s="450">
        <f>IF(Worksheet!F20&gt;0,Worksheet!F20," ")</f>
        <v>46.25</v>
      </c>
      <c r="G20" s="234" t="s">
        <v>4</v>
      </c>
      <c r="H20" s="450">
        <f>IF(Worksheet!H20&gt;0,Worksheet!H20," ")</f>
        <v>141</v>
      </c>
      <c r="I20" s="450" t="str">
        <f>IF(Worksheet!I20&gt;0,Worksheet!I20," ")</f>
        <v>IB</v>
      </c>
      <c r="J20" s="450" t="str">
        <f>IF(Worksheet!J20&gt;0,Worksheet!J20," ")</f>
        <v>Yes</v>
      </c>
      <c r="K20" s="450" t="str">
        <f>IF(Worksheet!K20&gt;0,Worksheet!K20," ")</f>
        <v xml:space="preserve"> </v>
      </c>
      <c r="L20" s="450" t="str">
        <f>IF(Worksheet!L20&gt;0,Worksheet!L20," ")</f>
        <v>Sealed</v>
      </c>
      <c r="M20" s="450" t="str">
        <f>IF(Worksheet!M20&gt;0,Worksheet!M20," ")</f>
        <v>M</v>
      </c>
      <c r="N20" s="450" t="str">
        <f>IF(Worksheet!N20&gt;0,Worksheet!N20," ")</f>
        <v>I</v>
      </c>
      <c r="O20" s="450" t="str">
        <f>IF(Worksheet!O20&gt;0,Worksheet!O20," ")</f>
        <v>VX Intimate Sing BO, Ivory</v>
      </c>
      <c r="P20" s="450" t="str">
        <f>IF(Worksheet!P20&gt;0,Worksheet!P20," ")</f>
        <v>Panel width - 43 3/4"center on tube</v>
      </c>
      <c r="Q20" s="450" t="str">
        <f>IF(Worksheet!Q20&gt;0,Worksheet!Q20," ")</f>
        <v>V</v>
      </c>
      <c r="R20" s="450" t="str">
        <f>IF(Worksheet!R20&gt;0,Worksheet!R20," ")</f>
        <v>RTS</v>
      </c>
      <c r="S20" s="450" t="str">
        <f>IF(Worksheet!S20&gt;0,Worksheet!S20," ")</f>
        <v xml:space="preserve"> </v>
      </c>
      <c r="T20" s="318"/>
    </row>
    <row r="21" spans="1:20" ht="14.1" customHeight="1" x14ac:dyDescent="0.2">
      <c r="A21" t="s">
        <v>35</v>
      </c>
      <c r="B21" s="50" t="str">
        <f>HLOOKUP($Q$5,'Data Sheet'!$B$2:$BA$23,8,FALSE)</f>
        <v>A7</v>
      </c>
      <c r="C21" s="450" t="str">
        <f>IF(Worksheet!C21&gt;0,Worksheet!C21," ")</f>
        <v xml:space="preserve"> </v>
      </c>
      <c r="D21" s="450" t="str">
        <f>IF(Worksheet!D21&gt;0,Worksheet!D21," ")</f>
        <v xml:space="preserve"> </v>
      </c>
      <c r="E21" s="450" t="str">
        <f>IF(Worksheet!E21&gt;0,Worksheet!E21," ")</f>
        <v xml:space="preserve"> </v>
      </c>
      <c r="F21" s="450" t="str">
        <f>IF(Worksheet!F21&gt;0,Worksheet!F21," ")</f>
        <v xml:space="preserve"> </v>
      </c>
      <c r="G21" s="234" t="s">
        <v>4</v>
      </c>
      <c r="H21" s="450" t="str">
        <f>IF(Worksheet!H21&gt;0,Worksheet!H21," ")</f>
        <v xml:space="preserve"> </v>
      </c>
      <c r="I21" s="450" t="str">
        <f>IF(Worksheet!I21&gt;0,Worksheet!I21," ")</f>
        <v xml:space="preserve"> </v>
      </c>
      <c r="J21" s="450" t="str">
        <f>IF(Worksheet!J21&gt;0,Worksheet!J21," ")</f>
        <v xml:space="preserve"> </v>
      </c>
      <c r="K21" s="450" t="str">
        <f>IF(Worksheet!K21&gt;0,Worksheet!K21," ")</f>
        <v xml:space="preserve"> </v>
      </c>
      <c r="L21" s="450" t="str">
        <f>IF(Worksheet!L21&gt;0,Worksheet!L21," ")</f>
        <v>Sealed</v>
      </c>
      <c r="M21" s="450" t="str">
        <f>IF(Worksheet!M21&gt;0,Worksheet!M21," ")</f>
        <v xml:space="preserve"> </v>
      </c>
      <c r="N21" s="450" t="str">
        <f>IF(Worksheet!N21&gt;0,Worksheet!N21," ")</f>
        <v xml:space="preserve"> </v>
      </c>
      <c r="O21" s="450" t="str">
        <f>IF(Worksheet!O21&gt;0,Worksheet!O21," ")</f>
        <v xml:space="preserve"> </v>
      </c>
      <c r="P21" s="450" t="str">
        <f>IF(Worksheet!P21&gt;0,Worksheet!P21," ")</f>
        <v xml:space="preserve"> </v>
      </c>
      <c r="Q21" s="450" t="str">
        <f>IF(Worksheet!Q21&gt;0,Worksheet!Q21," ")</f>
        <v xml:space="preserve"> </v>
      </c>
      <c r="R21" s="450" t="str">
        <f>IF(Worksheet!R21&gt;0,Worksheet!R21," ")</f>
        <v xml:space="preserve"> </v>
      </c>
      <c r="S21" s="450" t="str">
        <f>IF(Worksheet!S21&gt;0,Worksheet!S21," ")</f>
        <v xml:space="preserve"> </v>
      </c>
      <c r="T21" s="318"/>
    </row>
    <row r="22" spans="1:20" ht="14.1" customHeight="1" x14ac:dyDescent="0.2">
      <c r="A22" t="s">
        <v>36</v>
      </c>
      <c r="B22" s="50" t="str">
        <f>HLOOKUP($Q$5,'Data Sheet'!$B$2:$BA$23,9,FALSE)</f>
        <v>A8</v>
      </c>
      <c r="C22" s="450" t="str">
        <f>IF(Worksheet!C22&gt;0,Worksheet!C22," ")</f>
        <v xml:space="preserve"> </v>
      </c>
      <c r="D22" s="450" t="str">
        <f>IF(Worksheet!D22&gt;0,Worksheet!D22," ")</f>
        <v xml:space="preserve"> </v>
      </c>
      <c r="E22" s="450" t="str">
        <f>IF(Worksheet!E22&gt;0,Worksheet!E22," ")</f>
        <v xml:space="preserve"> </v>
      </c>
      <c r="F22" s="450" t="str">
        <f>IF(Worksheet!F22&gt;0,Worksheet!F22," ")</f>
        <v xml:space="preserve"> </v>
      </c>
      <c r="G22" s="234" t="s">
        <v>4</v>
      </c>
      <c r="H22" s="450" t="str">
        <f>IF(Worksheet!H22&gt;0,Worksheet!H22," ")</f>
        <v xml:space="preserve"> </v>
      </c>
      <c r="I22" s="450" t="str">
        <f>IF(Worksheet!I22&gt;0,Worksheet!I22," ")</f>
        <v xml:space="preserve"> </v>
      </c>
      <c r="J22" s="450" t="str">
        <f>IF(Worksheet!J22&gt;0,Worksheet!J22," ")</f>
        <v xml:space="preserve"> </v>
      </c>
      <c r="K22" s="450" t="str">
        <f>IF(Worksheet!K22&gt;0,Worksheet!K22," ")</f>
        <v xml:space="preserve"> </v>
      </c>
      <c r="L22" s="450" t="str">
        <f>IF(Worksheet!L22&gt;0,Worksheet!L22," ")</f>
        <v>Sealed</v>
      </c>
      <c r="M22" s="450" t="str">
        <f>IF(Worksheet!M22&gt;0,Worksheet!M22," ")</f>
        <v xml:space="preserve"> </v>
      </c>
      <c r="N22" s="450" t="str">
        <f>IF(Worksheet!N22&gt;0,Worksheet!N22," ")</f>
        <v xml:space="preserve"> </v>
      </c>
      <c r="O22" s="450" t="str">
        <f>IF(Worksheet!O22&gt;0,Worksheet!O22," ")</f>
        <v xml:space="preserve"> </v>
      </c>
      <c r="P22" s="450" t="str">
        <f>IF(Worksheet!P22&gt;0,Worksheet!P22," ")</f>
        <v xml:space="preserve"> </v>
      </c>
      <c r="Q22" s="450" t="str">
        <f>IF(Worksheet!Q22&gt;0,Worksheet!Q22," ")</f>
        <v xml:space="preserve"> </v>
      </c>
      <c r="R22" s="450" t="str">
        <f>IF(Worksheet!R22&gt;0,Worksheet!R22," ")</f>
        <v xml:space="preserve"> </v>
      </c>
      <c r="S22" s="450" t="str">
        <f>IF(Worksheet!S22&gt;0,Worksheet!S22," ")</f>
        <v xml:space="preserve"> </v>
      </c>
      <c r="T22" s="318"/>
    </row>
    <row r="23" spans="1:20" ht="14.1" customHeight="1" x14ac:dyDescent="0.2">
      <c r="A23" t="s">
        <v>37</v>
      </c>
      <c r="B23" s="50" t="str">
        <f>HLOOKUP($Q$5,'Data Sheet'!$B$2:$BA$23,10,FALSE)</f>
        <v>A9</v>
      </c>
      <c r="C23" s="450" t="str">
        <f>IF(Worksheet!C23&gt;0,Worksheet!C23," ")</f>
        <v xml:space="preserve"> </v>
      </c>
      <c r="D23" s="450" t="str">
        <f>IF(Worksheet!D23&gt;0,Worksheet!D23," ")</f>
        <v xml:space="preserve"> </v>
      </c>
      <c r="E23" s="450" t="str">
        <f>IF(Worksheet!E23&gt;0,Worksheet!E23," ")</f>
        <v xml:space="preserve"> </v>
      </c>
      <c r="F23" s="450" t="str">
        <f>IF(Worksheet!F23&gt;0,Worksheet!F23," ")</f>
        <v xml:space="preserve"> </v>
      </c>
      <c r="G23" s="234" t="s">
        <v>4</v>
      </c>
      <c r="H23" s="450" t="str">
        <f>IF(Worksheet!H23&gt;0,Worksheet!H23," ")</f>
        <v xml:space="preserve"> </v>
      </c>
      <c r="I23" s="450" t="str">
        <f>IF(Worksheet!I23&gt;0,Worksheet!I23," ")</f>
        <v xml:space="preserve"> </v>
      </c>
      <c r="J23" s="450" t="str">
        <f>IF(Worksheet!J23&gt;0,Worksheet!J23," ")</f>
        <v xml:space="preserve"> </v>
      </c>
      <c r="K23" s="450" t="str">
        <f>IF(Worksheet!K23&gt;0,Worksheet!K23," ")</f>
        <v xml:space="preserve"> </v>
      </c>
      <c r="L23" s="450" t="str">
        <f>IF(Worksheet!L23&gt;0,Worksheet!L23," ")</f>
        <v>Sealed</v>
      </c>
      <c r="M23" s="450" t="str">
        <f>IF(Worksheet!M23&gt;0,Worksheet!M23," ")</f>
        <v xml:space="preserve"> </v>
      </c>
      <c r="N23" s="450" t="str">
        <f>IF(Worksheet!N23&gt;0,Worksheet!N23," ")</f>
        <v xml:space="preserve"> </v>
      </c>
      <c r="O23" s="450" t="str">
        <f>IF(Worksheet!O23&gt;0,Worksheet!O23," ")</f>
        <v xml:space="preserve"> </v>
      </c>
      <c r="P23" s="450" t="str">
        <f>IF(Worksheet!P23&gt;0,Worksheet!P23," ")</f>
        <v xml:space="preserve"> </v>
      </c>
      <c r="Q23" s="450" t="str">
        <f>IF(Worksheet!Q23&gt;0,Worksheet!Q23," ")</f>
        <v xml:space="preserve"> </v>
      </c>
      <c r="R23" s="450" t="str">
        <f>IF(Worksheet!R23&gt;0,Worksheet!R23," ")</f>
        <v xml:space="preserve"> </v>
      </c>
      <c r="S23" s="450" t="str">
        <f>IF(Worksheet!S23&gt;0,Worksheet!S23," ")</f>
        <v xml:space="preserve"> </v>
      </c>
      <c r="T23" s="318"/>
    </row>
    <row r="24" spans="1:20" ht="14.1" customHeight="1" x14ac:dyDescent="0.2">
      <c r="A24" t="s">
        <v>38</v>
      </c>
      <c r="B24" s="50" t="str">
        <f>HLOOKUP($Q$5,'Data Sheet'!$B$2:$BA$23,11,FALSE)</f>
        <v>A10</v>
      </c>
      <c r="C24" s="450" t="str">
        <f>IF(Worksheet!C24&gt;0,Worksheet!C24," ")</f>
        <v xml:space="preserve"> </v>
      </c>
      <c r="D24" s="450" t="str">
        <f>IF(Worksheet!D24&gt;0,Worksheet!D24," ")</f>
        <v xml:space="preserve"> </v>
      </c>
      <c r="E24" s="450" t="str">
        <f>IF(Worksheet!E24&gt;0,Worksheet!E24," ")</f>
        <v xml:space="preserve"> </v>
      </c>
      <c r="F24" s="450" t="str">
        <f>IF(Worksheet!F24&gt;0,Worksheet!F24," ")</f>
        <v xml:space="preserve"> </v>
      </c>
      <c r="G24" s="234" t="s">
        <v>4</v>
      </c>
      <c r="H24" s="450" t="str">
        <f>IF(Worksheet!H24&gt;0,Worksheet!H24," ")</f>
        <v xml:space="preserve"> </v>
      </c>
      <c r="I24" s="450" t="str">
        <f>IF(Worksheet!I24&gt;0,Worksheet!I24," ")</f>
        <v xml:space="preserve"> </v>
      </c>
      <c r="J24" s="450" t="str">
        <f>IF(Worksheet!J24&gt;0,Worksheet!J24," ")</f>
        <v xml:space="preserve"> </v>
      </c>
      <c r="K24" s="450" t="str">
        <f>IF(Worksheet!K24&gt;0,Worksheet!K24," ")</f>
        <v xml:space="preserve"> </v>
      </c>
      <c r="L24" s="450" t="str">
        <f>IF(Worksheet!L24&gt;0,Worksheet!L24," ")</f>
        <v>Sealed</v>
      </c>
      <c r="M24" s="450" t="str">
        <f>IF(Worksheet!M24&gt;0,Worksheet!M24," ")</f>
        <v xml:space="preserve"> </v>
      </c>
      <c r="N24" s="450" t="str">
        <f>IF(Worksheet!N24&gt;0,Worksheet!N24," ")</f>
        <v xml:space="preserve"> </v>
      </c>
      <c r="O24" s="450" t="str">
        <f>IF(Worksheet!O24&gt;0,Worksheet!O24," ")</f>
        <v xml:space="preserve"> </v>
      </c>
      <c r="P24" s="450" t="str">
        <f>IF(Worksheet!P24&gt;0,Worksheet!P24," ")</f>
        <v xml:space="preserve"> </v>
      </c>
      <c r="Q24" s="450" t="str">
        <f>IF(Worksheet!Q24&gt;0,Worksheet!Q24," ")</f>
        <v xml:space="preserve"> </v>
      </c>
      <c r="R24" s="450" t="str">
        <f>IF(Worksheet!R24&gt;0,Worksheet!R24," ")</f>
        <v xml:space="preserve"> </v>
      </c>
      <c r="S24" s="450" t="str">
        <f>IF(Worksheet!S24&gt;0,Worksheet!S24," ")</f>
        <v xml:space="preserve"> </v>
      </c>
      <c r="T24" s="318"/>
    </row>
    <row r="25" spans="1:20" ht="14.1" customHeight="1" x14ac:dyDescent="0.2">
      <c r="A25" t="s">
        <v>39</v>
      </c>
      <c r="B25" s="50" t="str">
        <f>HLOOKUP($Q$5,'Data Sheet'!$B$2:$BA$23,12,FALSE)</f>
        <v>A11</v>
      </c>
      <c r="C25" s="450" t="str">
        <f>IF(Worksheet!C25&gt;0,Worksheet!C25," ")</f>
        <v xml:space="preserve"> </v>
      </c>
      <c r="D25" s="450" t="str">
        <f>IF(Worksheet!D25&gt;0,Worksheet!D25," ")</f>
        <v xml:space="preserve"> </v>
      </c>
      <c r="E25" s="450" t="str">
        <f>IF(Worksheet!E25&gt;0,Worksheet!E25," ")</f>
        <v xml:space="preserve"> </v>
      </c>
      <c r="F25" s="450" t="str">
        <f>IF(Worksheet!F25&gt;0,Worksheet!F25," ")</f>
        <v xml:space="preserve"> </v>
      </c>
      <c r="G25" s="234" t="s">
        <v>4</v>
      </c>
      <c r="H25" s="450" t="str">
        <f>IF(Worksheet!H25&gt;0,Worksheet!H25," ")</f>
        <v xml:space="preserve"> </v>
      </c>
      <c r="I25" s="450" t="str">
        <f>IF(Worksheet!I25&gt;0,Worksheet!I25," ")</f>
        <v xml:space="preserve"> </v>
      </c>
      <c r="J25" s="450" t="str">
        <f>IF(Worksheet!J25&gt;0,Worksheet!J25," ")</f>
        <v xml:space="preserve"> </v>
      </c>
      <c r="K25" s="450" t="str">
        <f>IF(Worksheet!K25&gt;0,Worksheet!K25," ")</f>
        <v xml:space="preserve"> </v>
      </c>
      <c r="L25" s="450" t="str">
        <f>IF(Worksheet!L25&gt;0,Worksheet!L25," ")</f>
        <v>Sealed</v>
      </c>
      <c r="M25" s="450" t="str">
        <f>IF(Worksheet!M25&gt;0,Worksheet!M25," ")</f>
        <v xml:space="preserve"> </v>
      </c>
      <c r="N25" s="450" t="str">
        <f>IF(Worksheet!N25&gt;0,Worksheet!N25," ")</f>
        <v xml:space="preserve"> </v>
      </c>
      <c r="O25" s="450" t="str">
        <f>IF(Worksheet!O25&gt;0,Worksheet!O25," ")</f>
        <v xml:space="preserve"> </v>
      </c>
      <c r="P25" s="450" t="str">
        <f>IF(Worksheet!P25&gt;0,Worksheet!P25," ")</f>
        <v xml:space="preserve"> </v>
      </c>
      <c r="Q25" s="450" t="str">
        <f>IF(Worksheet!Q25&gt;0,Worksheet!Q25," ")</f>
        <v xml:space="preserve"> </v>
      </c>
      <c r="R25" s="450" t="str">
        <f>IF(Worksheet!R25&gt;0,Worksheet!R25," ")</f>
        <v xml:space="preserve"> </v>
      </c>
      <c r="S25" s="450" t="str">
        <f>IF(Worksheet!S25&gt;0,Worksheet!S25," ")</f>
        <v xml:space="preserve"> </v>
      </c>
      <c r="T25" s="318"/>
    </row>
    <row r="26" spans="1:20" ht="14.1" customHeight="1" x14ac:dyDescent="0.2">
      <c r="A26" t="s">
        <v>40</v>
      </c>
      <c r="B26" s="50" t="str">
        <f>HLOOKUP($Q$5,'Data Sheet'!$B$2:$BA$23,13,FALSE)</f>
        <v>A12</v>
      </c>
      <c r="C26" s="450" t="str">
        <f>IF(Worksheet!C26&gt;0,Worksheet!C26," ")</f>
        <v xml:space="preserve"> </v>
      </c>
      <c r="D26" s="450" t="str">
        <f>IF(Worksheet!D26&gt;0,Worksheet!D26," ")</f>
        <v xml:space="preserve"> </v>
      </c>
      <c r="E26" s="450" t="str">
        <f>IF(Worksheet!E26&gt;0,Worksheet!E26," ")</f>
        <v xml:space="preserve"> </v>
      </c>
      <c r="F26" s="450" t="str">
        <f>IF(Worksheet!F26&gt;0,Worksheet!F26," ")</f>
        <v xml:space="preserve"> </v>
      </c>
      <c r="G26" s="234" t="s">
        <v>4</v>
      </c>
      <c r="H26" s="450" t="str">
        <f>IF(Worksheet!H26&gt;0,Worksheet!H26," ")</f>
        <v xml:space="preserve"> </v>
      </c>
      <c r="I26" s="450" t="str">
        <f>IF(Worksheet!I26&gt;0,Worksheet!I26," ")</f>
        <v xml:space="preserve"> </v>
      </c>
      <c r="J26" s="450" t="str">
        <f>IF(Worksheet!J26&gt;0,Worksheet!J26," ")</f>
        <v xml:space="preserve"> </v>
      </c>
      <c r="K26" s="450" t="str">
        <f>IF(Worksheet!K26&gt;0,Worksheet!K26," ")</f>
        <v xml:space="preserve"> </v>
      </c>
      <c r="L26" s="450" t="str">
        <f>IF(Worksheet!L26&gt;0,Worksheet!L26," ")</f>
        <v>Sealed</v>
      </c>
      <c r="M26" s="450" t="str">
        <f>IF(Worksheet!M26&gt;0,Worksheet!M26," ")</f>
        <v xml:space="preserve"> </v>
      </c>
      <c r="N26" s="450" t="str">
        <f>IF(Worksheet!N26&gt;0,Worksheet!N26," ")</f>
        <v xml:space="preserve"> </v>
      </c>
      <c r="O26" s="450" t="str">
        <f>IF(Worksheet!O26&gt;0,Worksheet!O26," ")</f>
        <v xml:space="preserve"> </v>
      </c>
      <c r="P26" s="450" t="str">
        <f>IF(Worksheet!P26&gt;0,Worksheet!P26," ")</f>
        <v xml:space="preserve"> </v>
      </c>
      <c r="Q26" s="450" t="str">
        <f>IF(Worksheet!Q26&gt;0,Worksheet!Q26," ")</f>
        <v xml:space="preserve"> </v>
      </c>
      <c r="R26" s="450" t="str">
        <f>IF(Worksheet!R26&gt;0,Worksheet!R26," ")</f>
        <v xml:space="preserve"> </v>
      </c>
      <c r="S26" s="450" t="str">
        <f>IF(Worksheet!S26&gt;0,Worksheet!S26," ")</f>
        <v xml:space="preserve"> </v>
      </c>
      <c r="T26" s="318"/>
    </row>
    <row r="27" spans="1:20" ht="14.1" customHeight="1" x14ac:dyDescent="0.2">
      <c r="A27" t="s">
        <v>41</v>
      </c>
      <c r="B27" s="50" t="str">
        <f>HLOOKUP($Q$5,'Data Sheet'!$B$2:$BA$23,14,FALSE)</f>
        <v>A13</v>
      </c>
      <c r="C27" s="450" t="str">
        <f>IF(Worksheet!C27&gt;0,Worksheet!C27," ")</f>
        <v xml:space="preserve"> </v>
      </c>
      <c r="D27" s="450" t="str">
        <f>IF(Worksheet!D27&gt;0,Worksheet!D27," ")</f>
        <v xml:space="preserve"> </v>
      </c>
      <c r="E27" s="450" t="str">
        <f>IF(Worksheet!E27&gt;0,Worksheet!E27," ")</f>
        <v xml:space="preserve"> </v>
      </c>
      <c r="F27" s="450" t="str">
        <f>IF(Worksheet!F27&gt;0,Worksheet!F27," ")</f>
        <v xml:space="preserve"> </v>
      </c>
      <c r="G27" s="234" t="s">
        <v>4</v>
      </c>
      <c r="H27" s="450" t="str">
        <f>IF(Worksheet!H27&gt;0,Worksheet!H27," ")</f>
        <v xml:space="preserve"> </v>
      </c>
      <c r="I27" s="450" t="str">
        <f>IF(Worksheet!I27&gt;0,Worksheet!I27," ")</f>
        <v xml:space="preserve"> </v>
      </c>
      <c r="J27" s="450" t="str">
        <f>IF(Worksheet!J27&gt;0,Worksheet!J27," ")</f>
        <v xml:space="preserve"> </v>
      </c>
      <c r="K27" s="450" t="str">
        <f>IF(Worksheet!K27&gt;0,Worksheet!K27," ")</f>
        <v xml:space="preserve"> </v>
      </c>
      <c r="L27" s="450" t="str">
        <f>IF(Worksheet!L27&gt;0,Worksheet!L27," ")</f>
        <v>Sealed</v>
      </c>
      <c r="M27" s="450" t="str">
        <f>IF(Worksheet!M27&gt;0,Worksheet!M27," ")</f>
        <v xml:space="preserve"> </v>
      </c>
      <c r="N27" s="450" t="str">
        <f>IF(Worksheet!N27&gt;0,Worksheet!N27," ")</f>
        <v xml:space="preserve"> </v>
      </c>
      <c r="O27" s="450" t="str">
        <f>IF(Worksheet!O27&gt;0,Worksheet!O27," ")</f>
        <v xml:space="preserve"> </v>
      </c>
      <c r="P27" s="450" t="str">
        <f>IF(Worksheet!P27&gt;0,Worksheet!P27," ")</f>
        <v xml:space="preserve"> </v>
      </c>
      <c r="Q27" s="450" t="str">
        <f>IF(Worksheet!Q27&gt;0,Worksheet!Q27," ")</f>
        <v xml:space="preserve"> </v>
      </c>
      <c r="R27" s="450" t="str">
        <f>IF(Worksheet!R27&gt;0,Worksheet!R27," ")</f>
        <v xml:space="preserve"> </v>
      </c>
      <c r="S27" s="450" t="str">
        <f>IF(Worksheet!S27&gt;0,Worksheet!S27," ")</f>
        <v xml:space="preserve"> </v>
      </c>
      <c r="T27" s="318"/>
    </row>
    <row r="28" spans="1:20" ht="14.1" customHeight="1" x14ac:dyDescent="0.2">
      <c r="A28" t="s">
        <v>42</v>
      </c>
      <c r="B28" s="50" t="str">
        <f>HLOOKUP($Q$5,'Data Sheet'!$B$2:$BA$23,15,FALSE)</f>
        <v>A14</v>
      </c>
      <c r="C28" s="450" t="str">
        <f>IF(Worksheet!C28&gt;0,Worksheet!C28," ")</f>
        <v xml:space="preserve"> </v>
      </c>
      <c r="D28" s="450" t="str">
        <f>IF(Worksheet!D28&gt;0,Worksheet!D28," ")</f>
        <v xml:space="preserve"> </v>
      </c>
      <c r="E28" s="450" t="str">
        <f>IF(Worksheet!E28&gt;0,Worksheet!E28," ")</f>
        <v xml:space="preserve"> </v>
      </c>
      <c r="F28" s="450" t="str">
        <f>IF(Worksheet!F28&gt;0,Worksheet!F28," ")</f>
        <v xml:space="preserve"> </v>
      </c>
      <c r="G28" s="234" t="s">
        <v>4</v>
      </c>
      <c r="H28" s="450" t="str">
        <f>IF(Worksheet!H28&gt;0,Worksheet!H28," ")</f>
        <v xml:space="preserve"> </v>
      </c>
      <c r="I28" s="450" t="str">
        <f>IF(Worksheet!I28&gt;0,Worksheet!I28," ")</f>
        <v xml:space="preserve"> </v>
      </c>
      <c r="J28" s="450" t="str">
        <f>IF(Worksheet!J28&gt;0,Worksheet!J28," ")</f>
        <v xml:space="preserve"> </v>
      </c>
      <c r="K28" s="450" t="str">
        <f>IF(Worksheet!K28&gt;0,Worksheet!K28," ")</f>
        <v xml:space="preserve"> </v>
      </c>
      <c r="L28" s="450" t="str">
        <f>IF(Worksheet!L28&gt;0,Worksheet!L28," ")</f>
        <v>Sealed</v>
      </c>
      <c r="M28" s="450" t="str">
        <f>IF(Worksheet!M28&gt;0,Worksheet!M28," ")</f>
        <v xml:space="preserve"> </v>
      </c>
      <c r="N28" s="450" t="str">
        <f>IF(Worksheet!N28&gt;0,Worksheet!N28," ")</f>
        <v xml:space="preserve"> </v>
      </c>
      <c r="O28" s="450" t="str">
        <f>IF(Worksheet!O28&gt;0,Worksheet!O28," ")</f>
        <v xml:space="preserve"> </v>
      </c>
      <c r="P28" s="450" t="str">
        <f>IF(Worksheet!P28&gt;0,Worksheet!P28," ")</f>
        <v xml:space="preserve"> </v>
      </c>
      <c r="Q28" s="450" t="str">
        <f>IF(Worksheet!Q28&gt;0,Worksheet!Q28," ")</f>
        <v xml:space="preserve"> </v>
      </c>
      <c r="R28" s="450" t="str">
        <f>IF(Worksheet!R28&gt;0,Worksheet!R28," ")</f>
        <v xml:space="preserve"> </v>
      </c>
      <c r="S28" s="450" t="str">
        <f>IF(Worksheet!S28&gt;0,Worksheet!S28," ")</f>
        <v xml:space="preserve"> </v>
      </c>
      <c r="T28" s="318"/>
    </row>
    <row r="29" spans="1:20" ht="14.1" customHeight="1" x14ac:dyDescent="0.2">
      <c r="A29" t="s">
        <v>43</v>
      </c>
      <c r="B29" s="50" t="str">
        <f>HLOOKUP($Q$5,'Data Sheet'!$B$2:$BA$23,16,FALSE)</f>
        <v>A15</v>
      </c>
      <c r="C29" s="450" t="str">
        <f>IF(Worksheet!C29&gt;0,Worksheet!C29," ")</f>
        <v xml:space="preserve"> </v>
      </c>
      <c r="D29" s="450" t="str">
        <f>IF(Worksheet!D29&gt;0,Worksheet!D29," ")</f>
        <v xml:space="preserve"> </v>
      </c>
      <c r="E29" s="450" t="str">
        <f>IF(Worksheet!E29&gt;0,Worksheet!E29," ")</f>
        <v xml:space="preserve"> </v>
      </c>
      <c r="F29" s="450" t="str">
        <f>IF(Worksheet!F29&gt;0,Worksheet!F29," ")</f>
        <v xml:space="preserve"> </v>
      </c>
      <c r="G29" s="234" t="s">
        <v>4</v>
      </c>
      <c r="H29" s="450" t="str">
        <f>IF(Worksheet!H29&gt;0,Worksheet!H29," ")</f>
        <v xml:space="preserve"> </v>
      </c>
      <c r="I29" s="450" t="str">
        <f>IF(Worksheet!I29&gt;0,Worksheet!I29," ")</f>
        <v xml:space="preserve"> </v>
      </c>
      <c r="J29" s="450" t="str">
        <f>IF(Worksheet!J29&gt;0,Worksheet!J29," ")</f>
        <v xml:space="preserve"> </v>
      </c>
      <c r="K29" s="450" t="str">
        <f>IF(Worksheet!K29&gt;0,Worksheet!K29," ")</f>
        <v xml:space="preserve"> </v>
      </c>
      <c r="L29" s="450" t="str">
        <f>IF(Worksheet!L29&gt;0,Worksheet!L29," ")</f>
        <v>Sealed</v>
      </c>
      <c r="M29" s="450" t="str">
        <f>IF(Worksheet!M29&gt;0,Worksheet!M29," ")</f>
        <v xml:space="preserve"> </v>
      </c>
      <c r="N29" s="450" t="str">
        <f>IF(Worksheet!N29&gt;0,Worksheet!N29," ")</f>
        <v xml:space="preserve"> </v>
      </c>
      <c r="O29" s="450" t="str">
        <f>IF(Worksheet!O29&gt;0,Worksheet!O29," ")</f>
        <v xml:space="preserve"> </v>
      </c>
      <c r="P29" s="450" t="str">
        <f>IF(Worksheet!P29&gt;0,Worksheet!P29," ")</f>
        <v xml:space="preserve"> </v>
      </c>
      <c r="Q29" s="450" t="str">
        <f>IF(Worksheet!Q29&gt;0,Worksheet!Q29," ")</f>
        <v xml:space="preserve"> </v>
      </c>
      <c r="R29" s="450" t="str">
        <f>IF(Worksheet!R29&gt;0,Worksheet!R29," ")</f>
        <v xml:space="preserve"> </v>
      </c>
      <c r="S29" s="450" t="str">
        <f>IF(Worksheet!S29&gt;0,Worksheet!S29," ")</f>
        <v xml:space="preserve"> </v>
      </c>
      <c r="T29" s="318"/>
    </row>
    <row r="30" spans="1:20" ht="14.1" customHeight="1" x14ac:dyDescent="0.2">
      <c r="A30" t="s">
        <v>44</v>
      </c>
      <c r="B30" s="50" t="str">
        <f>HLOOKUP($Q$5,'Data Sheet'!$B$2:$BA$23,17,FALSE)</f>
        <v>A16</v>
      </c>
      <c r="C30" s="450" t="str">
        <f>IF(Worksheet!C30&gt;0,Worksheet!C30," ")</f>
        <v xml:space="preserve"> </v>
      </c>
      <c r="D30" s="450" t="str">
        <f>IF(Worksheet!D30&gt;0,Worksheet!D30," ")</f>
        <v xml:space="preserve"> </v>
      </c>
      <c r="E30" s="450" t="str">
        <f>IF(Worksheet!E30&gt;0,Worksheet!E30," ")</f>
        <v xml:space="preserve"> </v>
      </c>
      <c r="F30" s="450" t="str">
        <f>IF(Worksheet!F30&gt;0,Worksheet!F30," ")</f>
        <v xml:space="preserve"> </v>
      </c>
      <c r="G30" s="234" t="s">
        <v>4</v>
      </c>
      <c r="H30" s="450" t="str">
        <f>IF(Worksheet!H30&gt;0,Worksheet!H30," ")</f>
        <v xml:space="preserve"> </v>
      </c>
      <c r="I30" s="450" t="str">
        <f>IF(Worksheet!I30&gt;0,Worksheet!I30," ")</f>
        <v xml:space="preserve"> </v>
      </c>
      <c r="J30" s="450" t="str">
        <f>IF(Worksheet!J30&gt;0,Worksheet!J30," ")</f>
        <v xml:space="preserve"> </v>
      </c>
      <c r="K30" s="450" t="str">
        <f>IF(Worksheet!K30&gt;0,Worksheet!K30," ")</f>
        <v xml:space="preserve"> </v>
      </c>
      <c r="L30" s="450" t="str">
        <f>IF(Worksheet!L30&gt;0,Worksheet!L30," ")</f>
        <v>Sealed</v>
      </c>
      <c r="M30" s="450" t="str">
        <f>IF(Worksheet!M30&gt;0,Worksheet!M30," ")</f>
        <v xml:space="preserve"> </v>
      </c>
      <c r="N30" s="450" t="str">
        <f>IF(Worksheet!N30&gt;0,Worksheet!N30," ")</f>
        <v xml:space="preserve"> </v>
      </c>
      <c r="O30" s="450" t="str">
        <f>IF(Worksheet!O30&gt;0,Worksheet!O30," ")</f>
        <v xml:space="preserve"> </v>
      </c>
      <c r="P30" s="450" t="str">
        <f>IF(Worksheet!P30&gt;0,Worksheet!P30," ")</f>
        <v xml:space="preserve"> </v>
      </c>
      <c r="Q30" s="450" t="str">
        <f>IF(Worksheet!Q30&gt;0,Worksheet!Q30," ")</f>
        <v xml:space="preserve"> </v>
      </c>
      <c r="R30" s="450" t="str">
        <f>IF(Worksheet!R30&gt;0,Worksheet!R30," ")</f>
        <v xml:space="preserve"> </v>
      </c>
      <c r="S30" s="450" t="str">
        <f>IF(Worksheet!S30&gt;0,Worksheet!S30," ")</f>
        <v xml:space="preserve"> </v>
      </c>
      <c r="T30" s="318"/>
    </row>
    <row r="31" spans="1:20" ht="14.1" customHeight="1" x14ac:dyDescent="0.2">
      <c r="A31" t="s">
        <v>45</v>
      </c>
      <c r="B31" s="50" t="str">
        <f>HLOOKUP($Q$5,'Data Sheet'!$B$2:$BA$23,18,FALSE)</f>
        <v>A17</v>
      </c>
      <c r="C31" s="450" t="str">
        <f>IF(Worksheet!C31&gt;0,Worksheet!C31," ")</f>
        <v xml:space="preserve"> </v>
      </c>
      <c r="D31" s="450" t="str">
        <f>IF(Worksheet!D31&gt;0,Worksheet!D31," ")</f>
        <v xml:space="preserve"> </v>
      </c>
      <c r="E31" s="450" t="str">
        <f>IF(Worksheet!E31&gt;0,Worksheet!E31," ")</f>
        <v xml:space="preserve"> </v>
      </c>
      <c r="F31" s="450" t="str">
        <f>IF(Worksheet!F31&gt;0,Worksheet!F31," ")</f>
        <v xml:space="preserve"> </v>
      </c>
      <c r="G31" s="234" t="s">
        <v>4</v>
      </c>
      <c r="H31" s="450" t="str">
        <f>IF(Worksheet!H31&gt;0,Worksheet!H31," ")</f>
        <v xml:space="preserve"> </v>
      </c>
      <c r="I31" s="450" t="str">
        <f>IF(Worksheet!I31&gt;0,Worksheet!I31," ")</f>
        <v xml:space="preserve"> </v>
      </c>
      <c r="J31" s="450" t="str">
        <f>IF(Worksheet!J31&gt;0,Worksheet!J31," ")</f>
        <v xml:space="preserve"> </v>
      </c>
      <c r="K31" s="450" t="str">
        <f>IF(Worksheet!K31&gt;0,Worksheet!K31," ")</f>
        <v xml:space="preserve"> </v>
      </c>
      <c r="L31" s="450" t="str">
        <f>IF(Worksheet!L31&gt;0,Worksheet!L31," ")</f>
        <v>Sealed</v>
      </c>
      <c r="M31" s="450" t="str">
        <f>IF(Worksheet!M31&gt;0,Worksheet!M31," ")</f>
        <v xml:space="preserve"> </v>
      </c>
      <c r="N31" s="450" t="str">
        <f>IF(Worksheet!N31&gt;0,Worksheet!N31," ")</f>
        <v xml:space="preserve"> </v>
      </c>
      <c r="O31" s="450" t="str">
        <f>IF(Worksheet!O31&gt;0,Worksheet!O31," ")</f>
        <v xml:space="preserve"> </v>
      </c>
      <c r="P31" s="450" t="str">
        <f>IF(Worksheet!P31&gt;0,Worksheet!P31," ")</f>
        <v xml:space="preserve"> </v>
      </c>
      <c r="Q31" s="450" t="str">
        <f>IF(Worksheet!Q31&gt;0,Worksheet!Q31," ")</f>
        <v xml:space="preserve"> </v>
      </c>
      <c r="R31" s="450" t="str">
        <f>IF(Worksheet!R31&gt;0,Worksheet!R31," ")</f>
        <v xml:space="preserve"> </v>
      </c>
      <c r="S31" s="450" t="str">
        <f>IF(Worksheet!S31&gt;0,Worksheet!S31," ")</f>
        <v xml:space="preserve"> </v>
      </c>
      <c r="T31" s="318"/>
    </row>
    <row r="32" spans="1:20" ht="14.1" customHeight="1" x14ac:dyDescent="0.2">
      <c r="A32" t="s">
        <v>46</v>
      </c>
      <c r="B32" s="50" t="str">
        <f>HLOOKUP($Q$5,'Data Sheet'!$B$2:$BA$23,19,FALSE)</f>
        <v>A18</v>
      </c>
      <c r="C32" s="450" t="str">
        <f>IF(Worksheet!C32&gt;0,Worksheet!C32," ")</f>
        <v xml:space="preserve"> </v>
      </c>
      <c r="D32" s="450" t="str">
        <f>IF(Worksheet!D32&gt;0,Worksheet!D32," ")</f>
        <v xml:space="preserve"> </v>
      </c>
      <c r="E32" s="450" t="str">
        <f>IF(Worksheet!E32&gt;0,Worksheet!E32," ")</f>
        <v xml:space="preserve"> </v>
      </c>
      <c r="F32" s="450" t="str">
        <f>IF(Worksheet!F32&gt;0,Worksheet!F32," ")</f>
        <v xml:space="preserve"> </v>
      </c>
      <c r="G32" s="234" t="s">
        <v>4</v>
      </c>
      <c r="H32" s="450" t="str">
        <f>IF(Worksheet!H32&gt;0,Worksheet!H32," ")</f>
        <v xml:space="preserve"> </v>
      </c>
      <c r="I32" s="450" t="str">
        <f>IF(Worksheet!I32&gt;0,Worksheet!I32," ")</f>
        <v xml:space="preserve"> </v>
      </c>
      <c r="J32" s="450" t="str">
        <f>IF(Worksheet!J32&gt;0,Worksheet!J32," ")</f>
        <v xml:space="preserve"> </v>
      </c>
      <c r="K32" s="450" t="str">
        <f>IF(Worksheet!K32&gt;0,Worksheet!K32," ")</f>
        <v xml:space="preserve"> </v>
      </c>
      <c r="L32" s="450" t="str">
        <f>IF(Worksheet!L32&gt;0,Worksheet!L32," ")</f>
        <v>Sealed</v>
      </c>
      <c r="M32" s="450" t="str">
        <f>IF(Worksheet!M32&gt;0,Worksheet!M32," ")</f>
        <v xml:space="preserve"> </v>
      </c>
      <c r="N32" s="450" t="str">
        <f>IF(Worksheet!N32&gt;0,Worksheet!N32," ")</f>
        <v xml:space="preserve"> </v>
      </c>
      <c r="O32" s="450" t="str">
        <f>IF(Worksheet!O32&gt;0,Worksheet!O32," ")</f>
        <v xml:space="preserve"> </v>
      </c>
      <c r="P32" s="450" t="str">
        <f>IF(Worksheet!P32&gt;0,Worksheet!P32," ")</f>
        <v xml:space="preserve"> </v>
      </c>
      <c r="Q32" s="450" t="str">
        <f>IF(Worksheet!Q32&gt;0,Worksheet!Q32," ")</f>
        <v xml:space="preserve"> </v>
      </c>
      <c r="R32" s="450" t="str">
        <f>IF(Worksheet!R32&gt;0,Worksheet!R32," ")</f>
        <v xml:space="preserve"> </v>
      </c>
      <c r="S32" s="450" t="str">
        <f>IF(Worksheet!S32&gt;0,Worksheet!S32," ")</f>
        <v xml:space="preserve"> </v>
      </c>
      <c r="T32" s="318"/>
    </row>
    <row r="33" spans="1:20" ht="14.1" customHeight="1" x14ac:dyDescent="0.2">
      <c r="A33" t="s">
        <v>47</v>
      </c>
      <c r="B33" s="50" t="str">
        <f>HLOOKUP($Q$5,'Data Sheet'!$B$2:$BA$23,20,FALSE)</f>
        <v>A19</v>
      </c>
      <c r="C33" s="450" t="str">
        <f>IF(Worksheet!C33&gt;0,Worksheet!C33," ")</f>
        <v xml:space="preserve"> </v>
      </c>
      <c r="D33" s="450" t="str">
        <f>IF(Worksheet!D33&gt;0,Worksheet!D33," ")</f>
        <v xml:space="preserve"> </v>
      </c>
      <c r="E33" s="450" t="str">
        <f>IF(Worksheet!E33&gt;0,Worksheet!E33," ")</f>
        <v xml:space="preserve"> </v>
      </c>
      <c r="F33" s="450" t="str">
        <f>IF(Worksheet!F33&gt;0,Worksheet!F33," ")</f>
        <v xml:space="preserve"> </v>
      </c>
      <c r="G33" s="234" t="s">
        <v>4</v>
      </c>
      <c r="H33" s="450" t="str">
        <f>IF(Worksheet!H33&gt;0,Worksheet!H33," ")</f>
        <v xml:space="preserve"> </v>
      </c>
      <c r="I33" s="450" t="str">
        <f>IF(Worksheet!I33&gt;0,Worksheet!I33," ")</f>
        <v xml:space="preserve"> </v>
      </c>
      <c r="J33" s="450" t="str">
        <f>IF(Worksheet!J33&gt;0,Worksheet!J33," ")</f>
        <v xml:space="preserve"> </v>
      </c>
      <c r="K33" s="450" t="str">
        <f>IF(Worksheet!K33&gt;0,Worksheet!K33," ")</f>
        <v xml:space="preserve"> </v>
      </c>
      <c r="L33" s="450" t="str">
        <f>IF(Worksheet!L33&gt;0,Worksheet!L33," ")</f>
        <v>Sealed</v>
      </c>
      <c r="M33" s="450" t="str">
        <f>IF(Worksheet!M33&gt;0,Worksheet!M33," ")</f>
        <v xml:space="preserve"> </v>
      </c>
      <c r="N33" s="450" t="str">
        <f>IF(Worksheet!N33&gt;0,Worksheet!N33," ")</f>
        <v xml:space="preserve"> </v>
      </c>
      <c r="O33" s="450" t="str">
        <f>IF(Worksheet!O33&gt;0,Worksheet!O33," ")</f>
        <v xml:space="preserve"> </v>
      </c>
      <c r="P33" s="450" t="str">
        <f>IF(Worksheet!P33&gt;0,Worksheet!P33," ")</f>
        <v xml:space="preserve"> </v>
      </c>
      <c r="Q33" s="450" t="str">
        <f>IF(Worksheet!Q33&gt;0,Worksheet!Q33," ")</f>
        <v xml:space="preserve"> </v>
      </c>
      <c r="R33" s="450" t="str">
        <f>IF(Worksheet!R33&gt;0,Worksheet!R33," ")</f>
        <v xml:space="preserve"> </v>
      </c>
      <c r="S33" s="450" t="str">
        <f>IF(Worksheet!S33&gt;0,Worksheet!S33," ")</f>
        <v xml:space="preserve"> </v>
      </c>
      <c r="T33" s="318"/>
    </row>
    <row r="34" spans="1:20" ht="14.1" customHeight="1" x14ac:dyDescent="0.2">
      <c r="A34" t="s">
        <v>48</v>
      </c>
      <c r="B34" s="50" t="str">
        <f>HLOOKUP($Q$5,'Data Sheet'!$B$2:$BA$23,21,FALSE)</f>
        <v>A20</v>
      </c>
      <c r="C34" s="450" t="str">
        <f>IF(Worksheet!C34&gt;0,Worksheet!C34," ")</f>
        <v xml:space="preserve"> </v>
      </c>
      <c r="D34" s="450" t="str">
        <f>IF(Worksheet!D34&gt;0,Worksheet!D34," ")</f>
        <v xml:space="preserve"> </v>
      </c>
      <c r="E34" s="450" t="str">
        <f>IF(Worksheet!E34&gt;0,Worksheet!E34," ")</f>
        <v xml:space="preserve"> </v>
      </c>
      <c r="F34" s="450" t="str">
        <f>IF(Worksheet!F34&gt;0,Worksheet!F34," ")</f>
        <v xml:space="preserve"> </v>
      </c>
      <c r="G34" s="234" t="s">
        <v>4</v>
      </c>
      <c r="H34" s="450" t="str">
        <f>IF(Worksheet!H34&gt;0,Worksheet!H34," ")</f>
        <v xml:space="preserve"> </v>
      </c>
      <c r="I34" s="450" t="str">
        <f>IF(Worksheet!I34&gt;0,Worksheet!I34," ")</f>
        <v xml:space="preserve"> </v>
      </c>
      <c r="J34" s="450" t="str">
        <f>IF(Worksheet!J34&gt;0,Worksheet!J34," ")</f>
        <v xml:space="preserve"> </v>
      </c>
      <c r="K34" s="450" t="str">
        <f>IF(Worksheet!K34&gt;0,Worksheet!K34," ")</f>
        <v xml:space="preserve"> </v>
      </c>
      <c r="L34" s="450" t="str">
        <f>IF(Worksheet!L34&gt;0,Worksheet!L34," ")</f>
        <v>Sealed</v>
      </c>
      <c r="M34" s="450" t="str">
        <f>IF(Worksheet!M34&gt;0,Worksheet!M34," ")</f>
        <v xml:space="preserve"> </v>
      </c>
      <c r="N34" s="450" t="str">
        <f>IF(Worksheet!N34&gt;0,Worksheet!N34," ")</f>
        <v xml:space="preserve"> </v>
      </c>
      <c r="O34" s="450" t="str">
        <f>IF(Worksheet!O34&gt;0,Worksheet!O34," ")</f>
        <v xml:space="preserve"> </v>
      </c>
      <c r="P34" s="450" t="str">
        <f>IF(Worksheet!P34&gt;0,Worksheet!P34," ")</f>
        <v xml:space="preserve"> </v>
      </c>
      <c r="Q34" s="450" t="str">
        <f>IF(Worksheet!Q34&gt;0,Worksheet!Q34," ")</f>
        <v xml:space="preserve"> </v>
      </c>
      <c r="R34" s="450" t="str">
        <f>IF(Worksheet!R34&gt;0,Worksheet!R34," ")</f>
        <v xml:space="preserve"> </v>
      </c>
      <c r="S34" s="450" t="str">
        <f>IF(Worksheet!S34&gt;0,Worksheet!S34," ")</f>
        <v xml:space="preserve"> </v>
      </c>
      <c r="T34" s="318"/>
    </row>
    <row r="35" spans="1:20" s="7" customFormat="1" ht="15.05" x14ac:dyDescent="0.25">
      <c r="B35" s="77"/>
      <c r="C35" s="486">
        <f>SUM(D15:D34)</f>
        <v>6</v>
      </c>
      <c r="D35" s="486"/>
      <c r="E35" s="7" t="s">
        <v>8</v>
      </c>
      <c r="F35" s="79"/>
      <c r="G35" s="78"/>
      <c r="H35" s="79"/>
    </row>
    <row r="36" spans="1:20" ht="15.05" x14ac:dyDescent="0.25">
      <c r="B36" s="74" t="s">
        <v>81</v>
      </c>
      <c r="C36" s="7"/>
      <c r="D36" s="78"/>
      <c r="E36" s="75"/>
      <c r="F36" s="79"/>
      <c r="G36" s="78"/>
      <c r="H36" s="335"/>
      <c r="I36" s="7"/>
      <c r="P36" s="7"/>
      <c r="Q36" s="533" t="s">
        <v>186</v>
      </c>
      <c r="R36" s="534"/>
      <c r="S36" s="535"/>
      <c r="T36" s="292"/>
    </row>
    <row r="37" spans="1:20" ht="15.05" customHeight="1" x14ac:dyDescent="0.25">
      <c r="E37" s="75"/>
      <c r="Q37" s="536" t="s">
        <v>78</v>
      </c>
      <c r="R37" s="537"/>
      <c r="S37" s="538"/>
      <c r="T37" s="292"/>
    </row>
    <row r="38" spans="1:20" ht="15.05" customHeight="1" thickBot="1" x14ac:dyDescent="0.25">
      <c r="D38"/>
      <c r="F38" s="5"/>
      <c r="H38" s="6"/>
      <c r="Q38" s="539"/>
      <c r="R38" s="539"/>
      <c r="S38" s="539"/>
      <c r="T38" s="293"/>
    </row>
    <row r="39" spans="1:20" ht="15.05" customHeight="1" thickBot="1" x14ac:dyDescent="0.35">
      <c r="D39"/>
      <c r="F39" s="5"/>
      <c r="H39" s="6"/>
      <c r="L39" s="500" t="s">
        <v>188</v>
      </c>
      <c r="M39" s="501"/>
      <c r="N39" s="501"/>
      <c r="O39" s="371" t="str">
        <f>Worksheet!O39</f>
        <v>Heidi Galieti</v>
      </c>
      <c r="Q39" s="539"/>
      <c r="R39" s="539"/>
      <c r="S39" s="539"/>
      <c r="T39" s="293"/>
    </row>
    <row r="40" spans="1:20" ht="15.05" customHeight="1" x14ac:dyDescent="0.25">
      <c r="C40" s="133"/>
      <c r="D40" s="449"/>
      <c r="Q40" s="7"/>
      <c r="R40" s="7"/>
      <c r="S40" s="7"/>
      <c r="T40" s="7"/>
    </row>
    <row r="41" spans="1:20" ht="15.05" customHeight="1" x14ac:dyDescent="0.2"/>
    <row r="51" spans="1:22" x14ac:dyDescent="0.2">
      <c r="C51" s="132"/>
      <c r="H51" s="6"/>
      <c r="J51" s="4"/>
      <c r="L51" s="6"/>
      <c r="M51" s="6"/>
      <c r="O51" s="4"/>
      <c r="Q51" s="6"/>
      <c r="S51" s="4"/>
      <c r="T51" s="4"/>
      <c r="V51" s="4"/>
    </row>
    <row r="52" spans="1:22" x14ac:dyDescent="0.2">
      <c r="A52" s="133"/>
    </row>
  </sheetData>
  <dataConsolidate/>
  <mergeCells count="9">
    <mergeCell ref="Q38:S39"/>
    <mergeCell ref="L39:N39"/>
    <mergeCell ref="S2:T2"/>
    <mergeCell ref="Q7:S7"/>
    <mergeCell ref="B5:I7"/>
    <mergeCell ref="L12:O12"/>
    <mergeCell ref="C35:D35"/>
    <mergeCell ref="Q36:S36"/>
    <mergeCell ref="Q37:S37"/>
  </mergeCells>
  <conditionalFormatting sqref="Q7:S7">
    <cfRule type="containsBlanks" dxfId="0" priority="1">
      <formula>LEN(TRIM(Q7))=0</formula>
    </cfRule>
  </conditionalFormatting>
  <pageMargins left="0.5" right="0.5" top="0.5" bottom="0.5" header="0.25" footer="0.25"/>
  <pageSetup scale="85" fitToWidth="2" orientation="landscape" r:id="rId1"/>
  <headerFooter alignWithMargins="0">
    <oddHeader>&amp;Z&amp;F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Check Box 1">
              <controlPr defaultSize="0" autoFill="0" autoLine="0" autoPict="0">
                <anchor moveWithCells="1">
                  <from>
                    <xdr:col>20</xdr:col>
                    <xdr:colOff>0</xdr:colOff>
                    <xdr:row>6</xdr:row>
                    <xdr:rowOff>141316</xdr:rowOff>
                  </from>
                  <to>
                    <xdr:col>21</xdr:col>
                    <xdr:colOff>440575</xdr:colOff>
                    <xdr:row>8</xdr:row>
                    <xdr:rowOff>41564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Group Box 2">
              <controlPr defaultSize="0" autoFill="0" autoPict="0">
                <anchor moveWithCells="1">
                  <from>
                    <xdr:col>15</xdr:col>
                    <xdr:colOff>955964</xdr:colOff>
                    <xdr:row>7</xdr:row>
                    <xdr:rowOff>133004</xdr:rowOff>
                  </from>
                  <to>
                    <xdr:col>17</xdr:col>
                    <xdr:colOff>324196</xdr:colOff>
                    <xdr:row>11</xdr:row>
                    <xdr:rowOff>24938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15</xdr:col>
                    <xdr:colOff>1022465</xdr:colOff>
                    <xdr:row>8</xdr:row>
                    <xdr:rowOff>24938</xdr:rowOff>
                  </from>
                  <to>
                    <xdr:col>15</xdr:col>
                    <xdr:colOff>1620982</xdr:colOff>
                    <xdr:row>9</xdr:row>
                    <xdr:rowOff>83127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15</xdr:col>
                    <xdr:colOff>1005840</xdr:colOff>
                    <xdr:row>9</xdr:row>
                    <xdr:rowOff>91440</xdr:rowOff>
                  </from>
                  <to>
                    <xdr:col>15</xdr:col>
                    <xdr:colOff>1620982</xdr:colOff>
                    <xdr:row>10</xdr:row>
                    <xdr:rowOff>149629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15</xdr:col>
                    <xdr:colOff>1712422</xdr:colOff>
                    <xdr:row>8</xdr:row>
                    <xdr:rowOff>16625</xdr:rowOff>
                  </from>
                  <to>
                    <xdr:col>17</xdr:col>
                    <xdr:colOff>249382</xdr:colOff>
                    <xdr:row>9</xdr:row>
                    <xdr:rowOff>74815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Check Box 6">
              <controlPr defaultSize="0" autoFill="0" autoLine="0" autoPict="0">
                <anchor moveWithCells="1">
                  <from>
                    <xdr:col>15</xdr:col>
                    <xdr:colOff>997527</xdr:colOff>
                    <xdr:row>11</xdr:row>
                    <xdr:rowOff>24938</xdr:rowOff>
                  </from>
                  <to>
                    <xdr:col>17</xdr:col>
                    <xdr:colOff>141316</xdr:colOff>
                    <xdr:row>12</xdr:row>
                    <xdr:rowOff>16625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Check Box 7">
              <controlPr defaultSize="0" autoFill="0" autoLine="0" autoPict="0">
                <anchor moveWithCells="1">
                  <from>
                    <xdr:col>15</xdr:col>
                    <xdr:colOff>997527</xdr:colOff>
                    <xdr:row>11</xdr:row>
                    <xdr:rowOff>24938</xdr:rowOff>
                  </from>
                  <to>
                    <xdr:col>17</xdr:col>
                    <xdr:colOff>141316</xdr:colOff>
                    <xdr:row>12</xdr:row>
                    <xdr:rowOff>16625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F5A95DA-66FE-4FEC-BC0C-E0AE80FE29C2}">
          <x14:formula1>
            <xm:f>'Data Sheet'!$B$48:$B$50</xm:f>
          </x14:formula1>
          <xm:sqref>T15:T34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87B14-5094-46AC-8AF6-87A62E644DBA}">
  <dimension ref="B1:L30"/>
  <sheetViews>
    <sheetView showGridLines="0" view="pageBreakPreview" zoomScale="110" zoomScaleNormal="100" zoomScaleSheetLayoutView="110" zoomScalePageLayoutView="140" workbookViewId="0">
      <selection activeCell="G24" sqref="G24"/>
    </sheetView>
  </sheetViews>
  <sheetFormatPr defaultColWidth="9.125" defaultRowHeight="12.45" x14ac:dyDescent="0.2"/>
  <cols>
    <col min="1" max="1" width="9.125" style="103" customWidth="1"/>
    <col min="2" max="4" width="11.375" style="103" customWidth="1"/>
    <col min="5" max="5" width="1.625" style="103" customWidth="1"/>
    <col min="6" max="8" width="11.375" style="103" customWidth="1"/>
    <col min="9" max="9" width="1.375" style="103" customWidth="1"/>
    <col min="10" max="12" width="11.375" style="103" customWidth="1"/>
    <col min="13" max="16384" width="9.125" style="103"/>
  </cols>
  <sheetData>
    <row r="1" spans="2:12" s="118" customFormat="1" ht="25.2" customHeight="1" x14ac:dyDescent="0.2">
      <c r="B1" s="117" t="str">
        <f>Worksheet!$L$5</f>
        <v>Pago Pago Temple Endowment Change Order</v>
      </c>
      <c r="C1" s="116"/>
      <c r="D1" s="115">
        <f>Worksheet!$AE$2</f>
        <v>30894</v>
      </c>
      <c r="E1" s="121"/>
      <c r="F1" s="117" t="str">
        <f>Worksheet!$L$5</f>
        <v>Pago Pago Temple Endowment Change Order</v>
      </c>
      <c r="G1" s="116"/>
      <c r="H1" s="115">
        <f>Worksheet!$AE$2</f>
        <v>30894</v>
      </c>
      <c r="I1" s="121"/>
      <c r="J1" s="117" t="str">
        <f>Worksheet!$L$5</f>
        <v>Pago Pago Temple Endowment Change Order</v>
      </c>
      <c r="K1" s="116"/>
      <c r="L1" s="115">
        <f>Worksheet!$AE$2</f>
        <v>30894</v>
      </c>
    </row>
    <row r="2" spans="2:12" s="118" customFormat="1" ht="25.2" customHeight="1" x14ac:dyDescent="0.2">
      <c r="B2" s="119"/>
      <c r="C2" s="118">
        <f>Worksheet!$C16</f>
        <v>134</v>
      </c>
      <c r="D2" s="120"/>
      <c r="E2" s="121"/>
      <c r="F2" s="119"/>
      <c r="G2" s="118">
        <f>Worksheet!$C17</f>
        <v>135</v>
      </c>
      <c r="H2" s="120"/>
      <c r="I2" s="121"/>
      <c r="J2" s="119"/>
      <c r="K2" s="118">
        <f>Worksheet!$C18</f>
        <v>139</v>
      </c>
      <c r="L2" s="120"/>
    </row>
    <row r="3" spans="2:12" s="118" customFormat="1" ht="25.2" customHeight="1" thickBot="1" x14ac:dyDescent="0.25">
      <c r="B3" s="114" t="s">
        <v>201</v>
      </c>
      <c r="C3" s="113"/>
      <c r="D3" s="430" t="str">
        <f>Worksheet!$B16</f>
        <v>A2</v>
      </c>
      <c r="F3" s="114" t="s">
        <v>201</v>
      </c>
      <c r="G3" s="113"/>
      <c r="H3" s="430" t="str">
        <f>Worksheet!$B17</f>
        <v>A3</v>
      </c>
      <c r="J3" s="114" t="s">
        <v>201</v>
      </c>
      <c r="K3" s="113"/>
      <c r="L3" s="430" t="str">
        <f>Worksheet!$B18</f>
        <v>A4</v>
      </c>
    </row>
    <row r="4" spans="2:12" s="118" customFormat="1" ht="25.2" customHeight="1" x14ac:dyDescent="0.2">
      <c r="B4" s="117" t="str">
        <f>Worksheet!$L$5</f>
        <v>Pago Pago Temple Endowment Change Order</v>
      </c>
      <c r="C4" s="116"/>
      <c r="D4" s="115">
        <f>Worksheet!$AE$2</f>
        <v>30894</v>
      </c>
      <c r="E4" s="121"/>
      <c r="F4" s="117" t="str">
        <f>Worksheet!$L$5</f>
        <v>Pago Pago Temple Endowment Change Order</v>
      </c>
      <c r="G4" s="116"/>
      <c r="H4" s="115">
        <f>Worksheet!$AE$2</f>
        <v>30894</v>
      </c>
      <c r="I4" s="121"/>
      <c r="J4" s="117" t="str">
        <f>Worksheet!$L$5</f>
        <v>Pago Pago Temple Endowment Change Order</v>
      </c>
      <c r="K4" s="116"/>
      <c r="L4" s="115">
        <f>Worksheet!$AE$2</f>
        <v>30894</v>
      </c>
    </row>
    <row r="5" spans="2:12" s="118" customFormat="1" ht="25.2" customHeight="1" x14ac:dyDescent="0.2">
      <c r="B5" s="119"/>
      <c r="C5" s="118">
        <f>Worksheet!$C19</f>
        <v>140</v>
      </c>
      <c r="D5" s="120"/>
      <c r="E5" s="121"/>
      <c r="F5" s="119"/>
      <c r="G5" s="118">
        <f>Worksheet!$C20</f>
        <v>140</v>
      </c>
      <c r="H5" s="120"/>
      <c r="I5" s="121"/>
      <c r="J5" s="119"/>
      <c r="K5" s="118">
        <f>Worksheet!$C21</f>
        <v>0</v>
      </c>
      <c r="L5" s="120"/>
    </row>
    <row r="6" spans="2:12" s="118" customFormat="1" ht="25.2" customHeight="1" thickBot="1" x14ac:dyDescent="0.25">
      <c r="B6" s="114" t="s">
        <v>201</v>
      </c>
      <c r="C6" s="113"/>
      <c r="D6" s="430" t="str">
        <f>Worksheet!$B19</f>
        <v>A5</v>
      </c>
      <c r="F6" s="114" t="s">
        <v>201</v>
      </c>
      <c r="G6" s="113"/>
      <c r="H6" s="430" t="str">
        <f>Worksheet!$B20</f>
        <v>A6</v>
      </c>
      <c r="J6" s="114" t="s">
        <v>201</v>
      </c>
      <c r="K6" s="113"/>
      <c r="L6" s="430" t="str">
        <f>Worksheet!$B21</f>
        <v>A7</v>
      </c>
    </row>
    <row r="7" spans="2:12" s="118" customFormat="1" ht="25.2" customHeight="1" x14ac:dyDescent="0.2">
      <c r="B7" s="117" t="str">
        <f>Worksheet!$L$5</f>
        <v>Pago Pago Temple Endowment Change Order</v>
      </c>
      <c r="C7" s="116"/>
      <c r="D7" s="115">
        <f>Worksheet!$AE$2</f>
        <v>30894</v>
      </c>
      <c r="E7" s="121"/>
      <c r="F7" s="117" t="str">
        <f>Worksheet!$L$5</f>
        <v>Pago Pago Temple Endowment Change Order</v>
      </c>
      <c r="G7" s="116"/>
      <c r="H7" s="115">
        <f>Worksheet!$AE$2</f>
        <v>30894</v>
      </c>
      <c r="I7" s="121"/>
      <c r="J7" s="117" t="str">
        <f>Worksheet!$L$5</f>
        <v>Pago Pago Temple Endowment Change Order</v>
      </c>
      <c r="K7" s="116"/>
      <c r="L7" s="115">
        <f>Worksheet!$AE$2</f>
        <v>30894</v>
      </c>
    </row>
    <row r="8" spans="2:12" s="118" customFormat="1" ht="25.2" customHeight="1" x14ac:dyDescent="0.2">
      <c r="B8" s="119"/>
      <c r="C8" s="118">
        <f>Worksheet!$C22</f>
        <v>0</v>
      </c>
      <c r="D8" s="120"/>
      <c r="E8" s="121"/>
      <c r="F8" s="119"/>
      <c r="G8" s="118">
        <f>Worksheet!$C23</f>
        <v>0</v>
      </c>
      <c r="H8" s="120"/>
      <c r="I8" s="121"/>
      <c r="J8" s="119"/>
      <c r="K8" s="118">
        <f>Worksheet!$C24</f>
        <v>0</v>
      </c>
      <c r="L8" s="120"/>
    </row>
    <row r="9" spans="2:12" s="118" customFormat="1" ht="25.2" customHeight="1" thickBot="1" x14ac:dyDescent="0.25">
      <c r="B9" s="114" t="s">
        <v>201</v>
      </c>
      <c r="C9" s="113"/>
      <c r="D9" s="430" t="str">
        <f>Worksheet!$B22</f>
        <v>A8</v>
      </c>
      <c r="F9" s="114" t="s">
        <v>201</v>
      </c>
      <c r="G9" s="113"/>
      <c r="H9" s="430" t="str">
        <f>Worksheet!$B23</f>
        <v>A9</v>
      </c>
      <c r="J9" s="114" t="s">
        <v>201</v>
      </c>
      <c r="K9" s="113"/>
      <c r="L9" s="430" t="str">
        <f>Worksheet!$B24</f>
        <v>A10</v>
      </c>
    </row>
    <row r="10" spans="2:12" s="118" customFormat="1" ht="25.85" customHeight="1" x14ac:dyDescent="0.2">
      <c r="B10" s="117" t="str">
        <f>Worksheet!$L$5</f>
        <v>Pago Pago Temple Endowment Change Order</v>
      </c>
      <c r="C10" s="116"/>
      <c r="D10" s="115">
        <f>Worksheet!$AE$2</f>
        <v>30894</v>
      </c>
      <c r="E10" s="121"/>
      <c r="F10" s="117" t="str">
        <f>Worksheet!$L$5</f>
        <v>Pago Pago Temple Endowment Change Order</v>
      </c>
      <c r="G10" s="116"/>
      <c r="H10" s="115">
        <f>Worksheet!$AE$2</f>
        <v>30894</v>
      </c>
      <c r="I10" s="121"/>
      <c r="J10" s="117" t="str">
        <f>Worksheet!$L$5</f>
        <v>Pago Pago Temple Endowment Change Order</v>
      </c>
      <c r="K10" s="116"/>
      <c r="L10" s="115">
        <f>Worksheet!$AE$2</f>
        <v>30894</v>
      </c>
    </row>
    <row r="11" spans="2:12" s="118" customFormat="1" ht="25.85" customHeight="1" x14ac:dyDescent="0.2">
      <c r="B11" s="119"/>
      <c r="C11" s="118">
        <f>Worksheet!$C25</f>
        <v>0</v>
      </c>
      <c r="D11" s="120"/>
      <c r="E11" s="121"/>
      <c r="F11" s="119"/>
      <c r="G11" s="118">
        <f>Worksheet!$C26</f>
        <v>0</v>
      </c>
      <c r="H11" s="120"/>
      <c r="I11" s="121"/>
      <c r="J11" s="119"/>
      <c r="K11" s="118">
        <f>Worksheet!$C27</f>
        <v>0</v>
      </c>
      <c r="L11" s="120"/>
    </row>
    <row r="12" spans="2:12" s="118" customFormat="1" ht="25.85" customHeight="1" thickBot="1" x14ac:dyDescent="0.25">
      <c r="B12" s="114" t="s">
        <v>201</v>
      </c>
      <c r="C12" s="113"/>
      <c r="D12" s="430" t="str">
        <f>Worksheet!$B25</f>
        <v>A11</v>
      </c>
      <c r="F12" s="114" t="s">
        <v>201</v>
      </c>
      <c r="G12" s="113"/>
      <c r="H12" s="430" t="str">
        <f>Worksheet!$B26</f>
        <v>A12</v>
      </c>
      <c r="J12" s="114" t="s">
        <v>201</v>
      </c>
      <c r="K12" s="113"/>
      <c r="L12" s="430" t="str">
        <f>Worksheet!$B27</f>
        <v>A13</v>
      </c>
    </row>
    <row r="13" spans="2:12" s="118" customFormat="1" ht="25.85" customHeight="1" x14ac:dyDescent="0.2">
      <c r="B13" s="117" t="str">
        <f>Worksheet!$L$5</f>
        <v>Pago Pago Temple Endowment Change Order</v>
      </c>
      <c r="C13" s="116"/>
      <c r="D13" s="115">
        <f>Worksheet!$AE$2</f>
        <v>30894</v>
      </c>
      <c r="E13" s="121"/>
      <c r="F13" s="117" t="str">
        <f>Worksheet!$L$5</f>
        <v>Pago Pago Temple Endowment Change Order</v>
      </c>
      <c r="G13" s="116"/>
      <c r="H13" s="115">
        <f>Worksheet!$AE$2</f>
        <v>30894</v>
      </c>
      <c r="I13" s="121"/>
      <c r="J13" s="117" t="str">
        <f>Worksheet!$L$5</f>
        <v>Pago Pago Temple Endowment Change Order</v>
      </c>
      <c r="K13" s="116"/>
      <c r="L13" s="115">
        <f>Worksheet!$AE$2</f>
        <v>30894</v>
      </c>
    </row>
    <row r="14" spans="2:12" s="118" customFormat="1" ht="25.85" customHeight="1" x14ac:dyDescent="0.2">
      <c r="B14" s="119"/>
      <c r="C14" s="118">
        <f>Worksheet!$C28</f>
        <v>0</v>
      </c>
      <c r="D14" s="120"/>
      <c r="E14" s="121"/>
      <c r="F14" s="119"/>
      <c r="G14" s="118">
        <f>Worksheet!$C29</f>
        <v>0</v>
      </c>
      <c r="H14" s="120"/>
      <c r="I14" s="121"/>
      <c r="J14" s="119"/>
      <c r="K14" s="118">
        <f>Worksheet!$C30</f>
        <v>0</v>
      </c>
      <c r="L14" s="120"/>
    </row>
    <row r="15" spans="2:12" s="118" customFormat="1" ht="25.85" customHeight="1" thickBot="1" x14ac:dyDescent="0.25">
      <c r="B15" s="114" t="s">
        <v>201</v>
      </c>
      <c r="C15" s="113"/>
      <c r="D15" s="430" t="str">
        <f>Worksheet!$B28</f>
        <v>A14</v>
      </c>
      <c r="F15" s="114" t="s">
        <v>201</v>
      </c>
      <c r="G15" s="113"/>
      <c r="H15" s="430" t="str">
        <f>Worksheet!$B29</f>
        <v>A15</v>
      </c>
      <c r="J15" s="114" t="s">
        <v>201</v>
      </c>
      <c r="K15" s="113"/>
      <c r="L15" s="430" t="str">
        <f>Worksheet!$B30</f>
        <v>A16</v>
      </c>
    </row>
    <row r="16" spans="2:12" s="118" customFormat="1" ht="25.85" customHeight="1" x14ac:dyDescent="0.2">
      <c r="B16" s="117" t="str">
        <f>Worksheet!$L$5</f>
        <v>Pago Pago Temple Endowment Change Order</v>
      </c>
      <c r="C16" s="116"/>
      <c r="D16" s="115">
        <f>Worksheet!$AE$2</f>
        <v>30894</v>
      </c>
      <c r="E16" s="121"/>
      <c r="F16" s="117" t="str">
        <f>Worksheet!$L$5</f>
        <v>Pago Pago Temple Endowment Change Order</v>
      </c>
      <c r="G16" s="116"/>
      <c r="H16" s="115">
        <f>Worksheet!$AE$2</f>
        <v>30894</v>
      </c>
      <c r="I16" s="121"/>
      <c r="J16" s="117" t="str">
        <f>Worksheet!$L$5</f>
        <v>Pago Pago Temple Endowment Change Order</v>
      </c>
      <c r="K16" s="116"/>
      <c r="L16" s="115">
        <f>Worksheet!$AE$2</f>
        <v>30894</v>
      </c>
    </row>
    <row r="17" spans="2:12" s="118" customFormat="1" ht="25.85" customHeight="1" x14ac:dyDescent="0.2">
      <c r="B17" s="119"/>
      <c r="C17" s="118">
        <f>Worksheet!$C31</f>
        <v>0</v>
      </c>
      <c r="D17" s="120"/>
      <c r="E17" s="121"/>
      <c r="F17" s="119"/>
      <c r="G17" s="118">
        <f>Worksheet!$C32</f>
        <v>0</v>
      </c>
      <c r="H17" s="120"/>
      <c r="I17" s="121"/>
      <c r="J17" s="119"/>
      <c r="K17" s="118">
        <f>Worksheet!$C33</f>
        <v>0</v>
      </c>
      <c r="L17" s="120"/>
    </row>
    <row r="18" spans="2:12" s="118" customFormat="1" ht="25.85" customHeight="1" thickBot="1" x14ac:dyDescent="0.25">
      <c r="B18" s="114" t="s">
        <v>201</v>
      </c>
      <c r="C18" s="113"/>
      <c r="D18" s="430" t="str">
        <f>Worksheet!$B31</f>
        <v>A17</v>
      </c>
      <c r="F18" s="114" t="s">
        <v>201</v>
      </c>
      <c r="G18" s="113"/>
      <c r="H18" s="430" t="str">
        <f>Worksheet!$B32</f>
        <v>A18</v>
      </c>
      <c r="J18" s="114" t="s">
        <v>201</v>
      </c>
      <c r="K18" s="113"/>
      <c r="L18" s="430" t="str">
        <f>Worksheet!$B33</f>
        <v>A19</v>
      </c>
    </row>
    <row r="19" spans="2:12" s="118" customFormat="1" ht="25.55" customHeight="1" x14ac:dyDescent="0.2">
      <c r="B19" s="117" t="str">
        <f>Worksheet!$L$5</f>
        <v>Pago Pago Temple Endowment Change Order</v>
      </c>
      <c r="C19" s="116"/>
      <c r="D19" s="115">
        <f>Worksheet!$AE$2</f>
        <v>30894</v>
      </c>
      <c r="E19" s="433"/>
      <c r="H19" s="121"/>
      <c r="I19" s="121"/>
      <c r="L19" s="121"/>
    </row>
    <row r="20" spans="2:12" s="118" customFormat="1" ht="25.55" customHeight="1" x14ac:dyDescent="0.2">
      <c r="B20" s="119"/>
      <c r="C20" s="118">
        <f>Worksheet!$C34</f>
        <v>0</v>
      </c>
      <c r="D20" s="120"/>
      <c r="E20" s="433"/>
      <c r="H20" s="121"/>
      <c r="I20" s="121"/>
      <c r="L20" s="121"/>
    </row>
    <row r="21" spans="2:12" s="118" customFormat="1" ht="25.55" customHeight="1" thickBot="1" x14ac:dyDescent="0.25">
      <c r="B21" s="114" t="s">
        <v>201</v>
      </c>
      <c r="C21" s="113"/>
      <c r="D21" s="430" t="str">
        <f>Worksheet!$B34</f>
        <v>A20</v>
      </c>
      <c r="E21" s="119"/>
      <c r="H21" s="431"/>
      <c r="L21" s="431"/>
    </row>
    <row r="22" spans="2:12" s="118" customFormat="1" ht="25.55" customHeight="1" x14ac:dyDescent="0.2">
      <c r="B22" s="117"/>
      <c r="C22" s="116"/>
      <c r="D22" s="432"/>
      <c r="E22" s="121"/>
      <c r="H22" s="121"/>
      <c r="I22" s="121"/>
      <c r="L22" s="120"/>
    </row>
    <row r="23" spans="2:12" s="118" customFormat="1" ht="25.55" customHeight="1" x14ac:dyDescent="0.2">
      <c r="D23" s="121"/>
      <c r="E23" s="121"/>
      <c r="H23" s="121"/>
      <c r="I23" s="121"/>
      <c r="L23" s="121"/>
    </row>
    <row r="24" spans="2:12" s="118" customFormat="1" ht="25.55" customHeight="1" x14ac:dyDescent="0.2">
      <c r="D24" s="431"/>
      <c r="H24" s="431"/>
      <c r="L24" s="431"/>
    </row>
    <row r="25" spans="2:12" s="118" customFormat="1" ht="25.55" customHeight="1" x14ac:dyDescent="0.2">
      <c r="D25" s="121"/>
      <c r="E25" s="121"/>
      <c r="H25" s="121"/>
      <c r="I25" s="121"/>
      <c r="L25" s="121"/>
    </row>
    <row r="26" spans="2:12" s="118" customFormat="1" ht="25.55" customHeight="1" x14ac:dyDescent="0.2">
      <c r="D26" s="121"/>
      <c r="E26" s="121"/>
      <c r="H26" s="121"/>
      <c r="I26" s="121"/>
      <c r="L26" s="121"/>
    </row>
    <row r="27" spans="2:12" s="118" customFormat="1" ht="25.55" customHeight="1" x14ac:dyDescent="0.2">
      <c r="D27" s="431"/>
      <c r="H27" s="431"/>
      <c r="L27" s="431"/>
    </row>
    <row r="28" spans="2:12" s="118" customFormat="1" ht="25.55" customHeight="1" x14ac:dyDescent="0.2">
      <c r="D28" s="121"/>
      <c r="E28" s="121"/>
      <c r="H28" s="121"/>
      <c r="I28" s="121"/>
      <c r="L28" s="121"/>
    </row>
    <row r="29" spans="2:12" s="118" customFormat="1" ht="25.55" customHeight="1" x14ac:dyDescent="0.2">
      <c r="D29" s="121"/>
      <c r="E29" s="121"/>
      <c r="H29" s="121"/>
      <c r="I29" s="121"/>
      <c r="L29" s="121"/>
    </row>
    <row r="30" spans="2:12" s="118" customFormat="1" ht="25.55" customHeight="1" x14ac:dyDescent="0.2">
      <c r="D30" s="431"/>
      <c r="H30" s="431"/>
      <c r="L30" s="431"/>
    </row>
  </sheetData>
  <pageMargins left="0" right="0" top="0.5" bottom="0.25" header="0" footer="0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520AF-BC40-4AB7-8AFD-7FA24E462BF4}">
  <dimension ref="B1:Q52"/>
  <sheetViews>
    <sheetView showGridLines="0" showWhiteSpace="0" view="pageBreakPreview" zoomScale="120" zoomScaleNormal="100" zoomScaleSheetLayoutView="120" workbookViewId="0">
      <selection activeCell="U34" sqref="U34"/>
    </sheetView>
  </sheetViews>
  <sheetFormatPr defaultColWidth="9.125" defaultRowHeight="12.45" x14ac:dyDescent="0.2"/>
  <cols>
    <col min="1" max="1" width="9.125" style="436"/>
    <col min="2" max="2" width="9.75" style="435" customWidth="1"/>
    <col min="3" max="3" width="2.875" style="435" customWidth="1"/>
    <col min="4" max="4" width="9.75" style="435" customWidth="1"/>
    <col min="5" max="5" width="4" style="435" customWidth="1"/>
    <col min="6" max="6" width="9.75" style="435" customWidth="1"/>
    <col min="7" max="7" width="2.875" style="435" customWidth="1"/>
    <col min="8" max="8" width="9.75" style="435" customWidth="1"/>
    <col min="9" max="9" width="4" style="435" customWidth="1"/>
    <col min="10" max="10" width="9.75" style="435" customWidth="1"/>
    <col min="11" max="11" width="2.875" style="435" customWidth="1"/>
    <col min="12" max="12" width="9.75" style="435" customWidth="1"/>
    <col min="13" max="13" width="4" style="435" customWidth="1"/>
    <col min="14" max="14" width="9.75" style="435" customWidth="1"/>
    <col min="15" max="15" width="2.875" style="435" customWidth="1"/>
    <col min="16" max="16" width="9.75" style="436" customWidth="1"/>
    <col min="17" max="16384" width="9.125" style="436"/>
  </cols>
  <sheetData>
    <row r="1" spans="2:17" ht="18" customHeight="1" x14ac:dyDescent="0.2">
      <c r="B1" s="434" t="str">
        <f>Worksheet!$B$16</f>
        <v>A2</v>
      </c>
      <c r="C1" s="544">
        <f>Worksheet!$C$16</f>
        <v>134</v>
      </c>
      <c r="D1" s="545"/>
      <c r="F1" s="434" t="str">
        <f>Worksheet!$B$16</f>
        <v>A2</v>
      </c>
      <c r="G1" s="544">
        <f>Worksheet!$C$16</f>
        <v>134</v>
      </c>
      <c r="H1" s="545"/>
      <c r="J1" s="434" t="str">
        <f>Worksheet!$B$16</f>
        <v>A2</v>
      </c>
      <c r="K1" s="544">
        <f>Worksheet!$C$16</f>
        <v>134</v>
      </c>
      <c r="L1" s="545"/>
      <c r="N1" s="434" t="str">
        <f>Worksheet!$B$17</f>
        <v>A3</v>
      </c>
      <c r="O1" s="544">
        <f>Worksheet!$C$17</f>
        <v>135</v>
      </c>
      <c r="P1" s="545"/>
    </row>
    <row r="2" spans="2:17" ht="18" customHeight="1" x14ac:dyDescent="0.2">
      <c r="B2" s="437">
        <f>Worksheet!$F$16</f>
        <v>46.5</v>
      </c>
      <c r="C2" s="438" t="s">
        <v>4</v>
      </c>
      <c r="D2" s="439">
        <f>Worksheet!$H$16</f>
        <v>141</v>
      </c>
      <c r="E2" s="440"/>
      <c r="F2" s="437">
        <f>Worksheet!$F$16</f>
        <v>46.5</v>
      </c>
      <c r="G2" s="438" t="s">
        <v>4</v>
      </c>
      <c r="H2" s="439">
        <f>Worksheet!$H$16</f>
        <v>141</v>
      </c>
      <c r="J2" s="437">
        <f>Worksheet!$F$16</f>
        <v>46.5</v>
      </c>
      <c r="K2" s="438" t="s">
        <v>4</v>
      </c>
      <c r="L2" s="439">
        <f>Worksheet!$H$16</f>
        <v>141</v>
      </c>
      <c r="N2" s="441">
        <f>Worksheet!$F$17</f>
        <v>36</v>
      </c>
      <c r="O2" s="440" t="s">
        <v>4</v>
      </c>
      <c r="P2" s="442">
        <f>Worksheet!$H$17</f>
        <v>141</v>
      </c>
    </row>
    <row r="3" spans="2:17" ht="18" customHeight="1" x14ac:dyDescent="0.2">
      <c r="B3" s="434" t="str">
        <f>Worksheet!$B$17</f>
        <v>A3</v>
      </c>
      <c r="C3" s="544">
        <f>Worksheet!$C$17</f>
        <v>135</v>
      </c>
      <c r="D3" s="545"/>
      <c r="E3" s="440"/>
      <c r="F3" s="434" t="str">
        <f>Worksheet!$B$17</f>
        <v>A3</v>
      </c>
      <c r="G3" s="544">
        <f>Worksheet!$C$17</f>
        <v>135</v>
      </c>
      <c r="H3" s="545"/>
      <c r="J3" s="434" t="str">
        <f>Worksheet!$B$18</f>
        <v>A4</v>
      </c>
      <c r="K3" s="544">
        <f>Worksheet!$C$18</f>
        <v>139</v>
      </c>
      <c r="L3" s="545"/>
      <c r="N3" s="434" t="str">
        <f>Worksheet!$B$18</f>
        <v>A4</v>
      </c>
      <c r="O3" s="544">
        <f>Worksheet!$C$18</f>
        <v>139</v>
      </c>
      <c r="P3" s="545"/>
    </row>
    <row r="4" spans="2:17" ht="18" customHeight="1" x14ac:dyDescent="0.2">
      <c r="B4" s="441">
        <f>Worksheet!$F$17</f>
        <v>36</v>
      </c>
      <c r="C4" s="440" t="s">
        <v>4</v>
      </c>
      <c r="D4" s="442">
        <f>Worksheet!$H$17</f>
        <v>141</v>
      </c>
      <c r="E4" s="440"/>
      <c r="F4" s="441">
        <f>Worksheet!$F$17</f>
        <v>36</v>
      </c>
      <c r="G4" s="440" t="s">
        <v>4</v>
      </c>
      <c r="H4" s="442">
        <f>Worksheet!$H$17</f>
        <v>141</v>
      </c>
      <c r="J4" s="437">
        <f>Worksheet!$F$18</f>
        <v>36</v>
      </c>
      <c r="K4" s="438" t="s">
        <v>4</v>
      </c>
      <c r="L4" s="439">
        <f>Worksheet!$H$18</f>
        <v>141</v>
      </c>
      <c r="N4" s="437">
        <f>Worksheet!$F$18</f>
        <v>36</v>
      </c>
      <c r="O4" s="438" t="s">
        <v>4</v>
      </c>
      <c r="P4" s="439">
        <f>Worksheet!$H$18</f>
        <v>141</v>
      </c>
    </row>
    <row r="5" spans="2:17" ht="18" customHeight="1" x14ac:dyDescent="0.2">
      <c r="B5" s="434" t="str">
        <f>Worksheet!$B$18</f>
        <v>A4</v>
      </c>
      <c r="C5" s="544">
        <f>Worksheet!$C$18</f>
        <v>139</v>
      </c>
      <c r="D5" s="545"/>
      <c r="E5" s="440"/>
      <c r="F5" s="434" t="str">
        <f>Worksheet!$B$19</f>
        <v>A5</v>
      </c>
      <c r="G5" s="546">
        <f>Worksheet!$C$19</f>
        <v>140</v>
      </c>
      <c r="H5" s="547"/>
      <c r="J5" s="434" t="str">
        <f>Worksheet!$B$19</f>
        <v>A5</v>
      </c>
      <c r="K5" s="546">
        <f>Worksheet!$C$19</f>
        <v>140</v>
      </c>
      <c r="L5" s="547"/>
      <c r="N5" s="434" t="str">
        <f>Worksheet!$B$19</f>
        <v>A5</v>
      </c>
      <c r="O5" s="546">
        <f>Worksheet!$C$19</f>
        <v>140</v>
      </c>
      <c r="P5" s="547"/>
    </row>
    <row r="6" spans="2:17" ht="18" customHeight="1" x14ac:dyDescent="0.2">
      <c r="B6" s="437">
        <f>Worksheet!$F$18</f>
        <v>36</v>
      </c>
      <c r="C6" s="438" t="s">
        <v>4</v>
      </c>
      <c r="D6" s="439">
        <f>Worksheet!$H$18</f>
        <v>141</v>
      </c>
      <c r="E6" s="440"/>
      <c r="F6" s="437">
        <f>Worksheet!$F$19</f>
        <v>46.375</v>
      </c>
      <c r="G6" s="438" t="s">
        <v>4</v>
      </c>
      <c r="H6" s="439">
        <f>Worksheet!$H$19</f>
        <v>141</v>
      </c>
      <c r="J6" s="437">
        <f>Worksheet!$F$19</f>
        <v>46.375</v>
      </c>
      <c r="K6" s="438" t="s">
        <v>4</v>
      </c>
      <c r="L6" s="439">
        <f>Worksheet!$H$19</f>
        <v>141</v>
      </c>
      <c r="N6" s="437">
        <f>Worksheet!$F$19</f>
        <v>46.375</v>
      </c>
      <c r="O6" s="438" t="s">
        <v>4</v>
      </c>
      <c r="P6" s="439">
        <f>Worksheet!$H$19</f>
        <v>141</v>
      </c>
    </row>
    <row r="7" spans="2:17" ht="19.350000000000001" customHeight="1" x14ac:dyDescent="0.2">
      <c r="B7" s="434" t="str">
        <f>Worksheet!$B$20</f>
        <v>A6</v>
      </c>
      <c r="C7" s="544">
        <f>Worksheet!$C$20</f>
        <v>140</v>
      </c>
      <c r="D7" s="545"/>
      <c r="E7" s="440"/>
      <c r="F7" s="434" t="str">
        <f>Worksheet!$B$20</f>
        <v>A6</v>
      </c>
      <c r="G7" s="544">
        <f>Worksheet!$C$20</f>
        <v>140</v>
      </c>
      <c r="H7" s="545"/>
      <c r="J7" s="434" t="str">
        <f>Worksheet!$B$20</f>
        <v>A6</v>
      </c>
      <c r="K7" s="544">
        <f>Worksheet!$C$20</f>
        <v>140</v>
      </c>
      <c r="L7" s="545"/>
      <c r="N7" s="434" t="str">
        <f>Worksheet!$B$21</f>
        <v>A7</v>
      </c>
      <c r="O7" s="544">
        <f>Worksheet!$C$21</f>
        <v>0</v>
      </c>
      <c r="P7" s="545"/>
      <c r="Q7" s="435"/>
    </row>
    <row r="8" spans="2:17" ht="19.350000000000001" customHeight="1" x14ac:dyDescent="0.2">
      <c r="B8" s="437">
        <f>Worksheet!$F$20</f>
        <v>46.25</v>
      </c>
      <c r="C8" s="438" t="s">
        <v>4</v>
      </c>
      <c r="D8" s="439">
        <f>Worksheet!$H$20</f>
        <v>141</v>
      </c>
      <c r="E8" s="440"/>
      <c r="F8" s="437">
        <f>Worksheet!$F$20</f>
        <v>46.25</v>
      </c>
      <c r="G8" s="438" t="s">
        <v>4</v>
      </c>
      <c r="H8" s="439">
        <f>Worksheet!$H$20</f>
        <v>141</v>
      </c>
      <c r="J8" s="437">
        <f>Worksheet!$F$20</f>
        <v>46.25</v>
      </c>
      <c r="K8" s="438" t="s">
        <v>4</v>
      </c>
      <c r="L8" s="439">
        <f>Worksheet!$H$20</f>
        <v>141</v>
      </c>
      <c r="N8" s="437">
        <f>Worksheet!$F$21</f>
        <v>0</v>
      </c>
      <c r="O8" s="438" t="s">
        <v>4</v>
      </c>
      <c r="P8" s="439">
        <f>Worksheet!$H$21</f>
        <v>0</v>
      </c>
      <c r="Q8" s="435"/>
    </row>
    <row r="9" spans="2:17" ht="19.350000000000001" customHeight="1" x14ac:dyDescent="0.2">
      <c r="B9" s="434" t="str">
        <f>Worksheet!$B$21</f>
        <v>A7</v>
      </c>
      <c r="C9" s="544">
        <f>Worksheet!$C$21</f>
        <v>0</v>
      </c>
      <c r="D9" s="545"/>
      <c r="E9" s="440"/>
      <c r="F9" s="434" t="str">
        <f>Worksheet!$B$21</f>
        <v>A7</v>
      </c>
      <c r="G9" s="544">
        <f>Worksheet!$C$21</f>
        <v>0</v>
      </c>
      <c r="H9" s="545"/>
      <c r="J9" s="434" t="str">
        <f>Worksheet!$B$22</f>
        <v>A8</v>
      </c>
      <c r="K9" s="544">
        <f>Worksheet!$C$22</f>
        <v>0</v>
      </c>
      <c r="L9" s="545"/>
      <c r="N9" s="434" t="str">
        <f>Worksheet!$B$22</f>
        <v>A8</v>
      </c>
      <c r="O9" s="544">
        <f>Worksheet!$C$22</f>
        <v>0</v>
      </c>
      <c r="P9" s="545"/>
    </row>
    <row r="10" spans="2:17" ht="19.350000000000001" customHeight="1" x14ac:dyDescent="0.2">
      <c r="B10" s="437">
        <f>Worksheet!$F$21</f>
        <v>0</v>
      </c>
      <c r="C10" s="438" t="s">
        <v>4</v>
      </c>
      <c r="D10" s="439">
        <f>Worksheet!$H$21</f>
        <v>0</v>
      </c>
      <c r="E10" s="440"/>
      <c r="F10" s="437">
        <f>Worksheet!$F$21</f>
        <v>0</v>
      </c>
      <c r="G10" s="438" t="s">
        <v>4</v>
      </c>
      <c r="H10" s="439">
        <f>Worksheet!$H$21</f>
        <v>0</v>
      </c>
      <c r="J10" s="437">
        <f>Worksheet!$F$22</f>
        <v>0</v>
      </c>
      <c r="K10" s="438" t="s">
        <v>4</v>
      </c>
      <c r="L10" s="439">
        <f>Worksheet!$H$22</f>
        <v>0</v>
      </c>
      <c r="N10" s="437">
        <f>Worksheet!$F$22</f>
        <v>0</v>
      </c>
      <c r="O10" s="438" t="s">
        <v>4</v>
      </c>
      <c r="P10" s="439">
        <f>Worksheet!$H$22</f>
        <v>0</v>
      </c>
    </row>
    <row r="11" spans="2:17" ht="19.350000000000001" customHeight="1" x14ac:dyDescent="0.2">
      <c r="B11" s="434" t="str">
        <f>Worksheet!$B$22</f>
        <v>A8</v>
      </c>
      <c r="C11" s="544">
        <f>Worksheet!$C$22</f>
        <v>0</v>
      </c>
      <c r="D11" s="545"/>
      <c r="E11" s="440"/>
      <c r="F11" s="434" t="str">
        <f>Worksheet!$B$23</f>
        <v>A9</v>
      </c>
      <c r="G11" s="544">
        <f>Worksheet!$C$23</f>
        <v>0</v>
      </c>
      <c r="H11" s="545"/>
      <c r="J11" s="434" t="str">
        <f>Worksheet!$B$23</f>
        <v>A9</v>
      </c>
      <c r="K11" s="544">
        <f>Worksheet!$C$23</f>
        <v>0</v>
      </c>
      <c r="L11" s="545"/>
      <c r="N11" s="434" t="str">
        <f>Worksheet!$B$23</f>
        <v>A9</v>
      </c>
      <c r="O11" s="544">
        <f>Worksheet!$C$23</f>
        <v>0</v>
      </c>
      <c r="P11" s="545"/>
    </row>
    <row r="12" spans="2:17" ht="19.350000000000001" customHeight="1" x14ac:dyDescent="0.2">
      <c r="B12" s="437">
        <f>Worksheet!$F$22</f>
        <v>0</v>
      </c>
      <c r="C12" s="438" t="s">
        <v>4</v>
      </c>
      <c r="D12" s="439">
        <f>Worksheet!$H$22</f>
        <v>0</v>
      </c>
      <c r="E12" s="440"/>
      <c r="F12" s="437">
        <f>Worksheet!$F$23</f>
        <v>0</v>
      </c>
      <c r="G12" s="438" t="s">
        <v>4</v>
      </c>
      <c r="H12" s="439">
        <f>Worksheet!$H$23</f>
        <v>0</v>
      </c>
      <c r="J12" s="437">
        <f>Worksheet!$F$23</f>
        <v>0</v>
      </c>
      <c r="K12" s="438" t="s">
        <v>4</v>
      </c>
      <c r="L12" s="439">
        <f>Worksheet!$H$23</f>
        <v>0</v>
      </c>
      <c r="N12" s="437">
        <f>Worksheet!$F$23</f>
        <v>0</v>
      </c>
      <c r="O12" s="438" t="s">
        <v>4</v>
      </c>
      <c r="P12" s="439">
        <f>Worksheet!$H$23</f>
        <v>0</v>
      </c>
    </row>
    <row r="13" spans="2:17" ht="18" customHeight="1" x14ac:dyDescent="0.2">
      <c r="B13" s="434" t="str">
        <f>Worksheet!$B$24</f>
        <v>A10</v>
      </c>
      <c r="C13" s="544">
        <f>Worksheet!$C$24</f>
        <v>0</v>
      </c>
      <c r="D13" s="545"/>
      <c r="E13" s="440"/>
      <c r="F13" s="434" t="str">
        <f>Worksheet!$B$24</f>
        <v>A10</v>
      </c>
      <c r="G13" s="544">
        <f>Worksheet!$C$24</f>
        <v>0</v>
      </c>
      <c r="H13" s="545"/>
      <c r="J13" s="434" t="str">
        <f>Worksheet!$B$24</f>
        <v>A10</v>
      </c>
      <c r="K13" s="544">
        <f>Worksheet!$C$24</f>
        <v>0</v>
      </c>
      <c r="L13" s="545"/>
      <c r="N13" s="434" t="str">
        <f>Worksheet!$B$25</f>
        <v>A11</v>
      </c>
      <c r="O13" s="544">
        <f>Worksheet!$C$25</f>
        <v>0</v>
      </c>
      <c r="P13" s="545"/>
    </row>
    <row r="14" spans="2:17" ht="18" customHeight="1" x14ac:dyDescent="0.2">
      <c r="B14" s="437">
        <f>Worksheet!$F$24</f>
        <v>0</v>
      </c>
      <c r="C14" s="438" t="s">
        <v>4</v>
      </c>
      <c r="D14" s="439">
        <f>Worksheet!$H$24</f>
        <v>0</v>
      </c>
      <c r="E14" s="440"/>
      <c r="F14" s="437">
        <f>Worksheet!$F$24</f>
        <v>0</v>
      </c>
      <c r="G14" s="438" t="s">
        <v>4</v>
      </c>
      <c r="H14" s="439">
        <f>Worksheet!$H$24</f>
        <v>0</v>
      </c>
      <c r="J14" s="437">
        <f>Worksheet!$F$24</f>
        <v>0</v>
      </c>
      <c r="K14" s="438" t="s">
        <v>4</v>
      </c>
      <c r="L14" s="439">
        <f>Worksheet!$H$24</f>
        <v>0</v>
      </c>
      <c r="N14" s="437">
        <f>Worksheet!$F$25</f>
        <v>0</v>
      </c>
      <c r="O14" s="438" t="s">
        <v>4</v>
      </c>
      <c r="P14" s="439">
        <f>Worksheet!$H$25</f>
        <v>0</v>
      </c>
    </row>
    <row r="15" spans="2:17" ht="18" customHeight="1" x14ac:dyDescent="0.2">
      <c r="B15" s="434" t="str">
        <f>Worksheet!$B$25</f>
        <v>A11</v>
      </c>
      <c r="C15" s="544">
        <f>Worksheet!$C$25</f>
        <v>0</v>
      </c>
      <c r="D15" s="545"/>
      <c r="E15" s="440"/>
      <c r="F15" s="434" t="str">
        <f>Worksheet!$B$25</f>
        <v>A11</v>
      </c>
      <c r="G15" s="544">
        <f>Worksheet!$C$25</f>
        <v>0</v>
      </c>
      <c r="H15" s="545"/>
      <c r="J15" s="434" t="str">
        <f>Worksheet!$B$26</f>
        <v>A12</v>
      </c>
      <c r="K15" s="544">
        <f>Worksheet!$C$26</f>
        <v>0</v>
      </c>
      <c r="L15" s="545"/>
      <c r="N15" s="434" t="str">
        <f>Worksheet!$B$26</f>
        <v>A12</v>
      </c>
      <c r="O15" s="544">
        <f>Worksheet!$C$26</f>
        <v>0</v>
      </c>
      <c r="P15" s="545"/>
    </row>
    <row r="16" spans="2:17" ht="18" customHeight="1" x14ac:dyDescent="0.2">
      <c r="B16" s="437">
        <f>Worksheet!$F$25</f>
        <v>0</v>
      </c>
      <c r="C16" s="438" t="s">
        <v>4</v>
      </c>
      <c r="D16" s="439">
        <f>Worksheet!$H$25</f>
        <v>0</v>
      </c>
      <c r="E16" s="440"/>
      <c r="F16" s="437">
        <f>Worksheet!$F$25</f>
        <v>0</v>
      </c>
      <c r="G16" s="438" t="s">
        <v>4</v>
      </c>
      <c r="H16" s="439">
        <f>Worksheet!$H$25</f>
        <v>0</v>
      </c>
      <c r="J16" s="437">
        <f>Worksheet!$F$26</f>
        <v>0</v>
      </c>
      <c r="K16" s="438" t="s">
        <v>4</v>
      </c>
      <c r="L16" s="439">
        <f>Worksheet!$H$26</f>
        <v>0</v>
      </c>
      <c r="N16" s="437">
        <f>Worksheet!$F$26</f>
        <v>0</v>
      </c>
      <c r="O16" s="438" t="s">
        <v>4</v>
      </c>
      <c r="P16" s="439">
        <f>Worksheet!$H$26</f>
        <v>0</v>
      </c>
    </row>
    <row r="17" spans="2:16" ht="18" customHeight="1" x14ac:dyDescent="0.2">
      <c r="B17" s="434" t="str">
        <f>Worksheet!$B$26</f>
        <v>A12</v>
      </c>
      <c r="C17" s="544">
        <f>Worksheet!$C$26</f>
        <v>0</v>
      </c>
      <c r="D17" s="545"/>
      <c r="E17" s="440"/>
      <c r="F17" s="444" t="str">
        <f>Worksheet!$B$27</f>
        <v>A13</v>
      </c>
      <c r="G17" s="544">
        <f>Worksheet!$C$27</f>
        <v>0</v>
      </c>
      <c r="H17" s="545"/>
      <c r="J17" s="444" t="str">
        <f>Worksheet!$B$27</f>
        <v>A13</v>
      </c>
      <c r="K17" s="544">
        <f>Worksheet!$C$27</f>
        <v>0</v>
      </c>
      <c r="L17" s="545"/>
      <c r="N17" s="444" t="str">
        <f>Worksheet!$B$27</f>
        <v>A13</v>
      </c>
      <c r="O17" s="544">
        <f>Worksheet!$C$27</f>
        <v>0</v>
      </c>
      <c r="P17" s="545"/>
    </row>
    <row r="18" spans="2:16" ht="18" customHeight="1" x14ac:dyDescent="0.2">
      <c r="B18" s="437">
        <f>Worksheet!$F$26</f>
        <v>0</v>
      </c>
      <c r="C18" s="438" t="s">
        <v>4</v>
      </c>
      <c r="D18" s="439">
        <f>Worksheet!$H$26</f>
        <v>0</v>
      </c>
      <c r="E18" s="440"/>
      <c r="F18" s="437">
        <f>Worksheet!$F$27</f>
        <v>0</v>
      </c>
      <c r="G18" s="438" t="s">
        <v>4</v>
      </c>
      <c r="H18" s="439">
        <f>Worksheet!$H$27</f>
        <v>0</v>
      </c>
      <c r="J18" s="437">
        <f>Worksheet!$F$27</f>
        <v>0</v>
      </c>
      <c r="K18" s="438" t="s">
        <v>4</v>
      </c>
      <c r="L18" s="439">
        <f>Worksheet!$H$27</f>
        <v>0</v>
      </c>
      <c r="N18" s="437">
        <f>Worksheet!$F$27</f>
        <v>0</v>
      </c>
      <c r="O18" s="438" t="s">
        <v>4</v>
      </c>
      <c r="P18" s="439">
        <f>Worksheet!$H$27</f>
        <v>0</v>
      </c>
    </row>
    <row r="19" spans="2:16" ht="18" customHeight="1" x14ac:dyDescent="0.2">
      <c r="B19" s="434" t="str">
        <f>Worksheet!$B$28</f>
        <v>A14</v>
      </c>
      <c r="C19" s="544">
        <f>Worksheet!$C$28</f>
        <v>0</v>
      </c>
      <c r="D19" s="545"/>
      <c r="E19" s="440"/>
      <c r="F19" s="434" t="str">
        <f>Worksheet!$B$28</f>
        <v>A14</v>
      </c>
      <c r="G19" s="544">
        <f>Worksheet!$C$28</f>
        <v>0</v>
      </c>
      <c r="H19" s="545"/>
      <c r="J19" s="434" t="str">
        <f>Worksheet!$B$28</f>
        <v>A14</v>
      </c>
      <c r="K19" s="544">
        <f>Worksheet!$C$28</f>
        <v>0</v>
      </c>
      <c r="L19" s="545"/>
      <c r="N19" s="434" t="str">
        <f>Worksheet!$B$29</f>
        <v>A15</v>
      </c>
      <c r="O19" s="544">
        <f>Worksheet!$C$29</f>
        <v>0</v>
      </c>
      <c r="P19" s="545"/>
    </row>
    <row r="20" spans="2:16" ht="18" customHeight="1" x14ac:dyDescent="0.2">
      <c r="B20" s="437">
        <f>Worksheet!$F$28</f>
        <v>0</v>
      </c>
      <c r="C20" s="438" t="s">
        <v>4</v>
      </c>
      <c r="D20" s="439">
        <f>Worksheet!$H$28</f>
        <v>0</v>
      </c>
      <c r="E20" s="440"/>
      <c r="F20" s="437">
        <f>Worksheet!$F$28</f>
        <v>0</v>
      </c>
      <c r="G20" s="438" t="s">
        <v>4</v>
      </c>
      <c r="H20" s="439">
        <f>Worksheet!$H$28</f>
        <v>0</v>
      </c>
      <c r="J20" s="437">
        <f>Worksheet!$F$28</f>
        <v>0</v>
      </c>
      <c r="K20" s="438" t="s">
        <v>4</v>
      </c>
      <c r="L20" s="439">
        <f>Worksheet!$H$28</f>
        <v>0</v>
      </c>
      <c r="N20" s="437">
        <f>Worksheet!$F$29</f>
        <v>0</v>
      </c>
      <c r="O20" s="438" t="s">
        <v>4</v>
      </c>
      <c r="P20" s="439">
        <f>Worksheet!$H$29</f>
        <v>0</v>
      </c>
    </row>
    <row r="21" spans="2:16" ht="18" customHeight="1" x14ac:dyDescent="0.2">
      <c r="B21" s="434" t="str">
        <f>Worksheet!$B$29</f>
        <v>A15</v>
      </c>
      <c r="C21" s="544">
        <f>Worksheet!$C$29</f>
        <v>0</v>
      </c>
      <c r="D21" s="545"/>
      <c r="E21" s="440"/>
      <c r="F21" s="434" t="str">
        <f>Worksheet!$B$29</f>
        <v>A15</v>
      </c>
      <c r="G21" s="544">
        <f>Worksheet!$C$29</f>
        <v>0</v>
      </c>
      <c r="H21" s="545"/>
      <c r="J21" s="434" t="str">
        <f>Worksheet!$B$30</f>
        <v>A16</v>
      </c>
      <c r="K21" s="544">
        <f>Worksheet!$C$30</f>
        <v>0</v>
      </c>
      <c r="L21" s="545"/>
      <c r="N21" s="434" t="str">
        <f>Worksheet!$B$30</f>
        <v>A16</v>
      </c>
      <c r="O21" s="544">
        <f>Worksheet!$C$30</f>
        <v>0</v>
      </c>
      <c r="P21" s="545"/>
    </row>
    <row r="22" spans="2:16" ht="18" customHeight="1" x14ac:dyDescent="0.2">
      <c r="B22" s="437">
        <f>Worksheet!$F$29</f>
        <v>0</v>
      </c>
      <c r="C22" s="438" t="s">
        <v>4</v>
      </c>
      <c r="D22" s="439">
        <f>Worksheet!$H$29</f>
        <v>0</v>
      </c>
      <c r="E22" s="440"/>
      <c r="F22" s="437">
        <f>Worksheet!$F$29</f>
        <v>0</v>
      </c>
      <c r="G22" s="438" t="s">
        <v>4</v>
      </c>
      <c r="H22" s="439">
        <f>Worksheet!$H$29</f>
        <v>0</v>
      </c>
      <c r="J22" s="437">
        <f>Worksheet!$F$30</f>
        <v>0</v>
      </c>
      <c r="K22" s="438" t="s">
        <v>4</v>
      </c>
      <c r="L22" s="439">
        <f>Worksheet!$H$30</f>
        <v>0</v>
      </c>
      <c r="N22" s="437">
        <f>Worksheet!$F$30</f>
        <v>0</v>
      </c>
      <c r="O22" s="438" t="s">
        <v>4</v>
      </c>
      <c r="P22" s="439">
        <f>Worksheet!$H$30</f>
        <v>0</v>
      </c>
    </row>
    <row r="23" spans="2:16" ht="18" customHeight="1" x14ac:dyDescent="0.2">
      <c r="B23" s="434" t="str">
        <f>Worksheet!$B$30</f>
        <v>A16</v>
      </c>
      <c r="C23" s="544">
        <f>Worksheet!$C$30</f>
        <v>0</v>
      </c>
      <c r="D23" s="545"/>
      <c r="E23" s="440"/>
      <c r="F23" s="434" t="str">
        <f>Worksheet!$B$31</f>
        <v>A17</v>
      </c>
      <c r="G23" s="544">
        <f>Worksheet!$C$31</f>
        <v>0</v>
      </c>
      <c r="H23" s="545"/>
      <c r="J23" s="434" t="str">
        <f>Worksheet!$B$31</f>
        <v>A17</v>
      </c>
      <c r="K23" s="544">
        <f>Worksheet!$C$31</f>
        <v>0</v>
      </c>
      <c r="L23" s="545"/>
      <c r="N23" s="434" t="str">
        <f>Worksheet!$B$31</f>
        <v>A17</v>
      </c>
      <c r="O23" s="544">
        <f>Worksheet!$C$31</f>
        <v>0</v>
      </c>
      <c r="P23" s="545"/>
    </row>
    <row r="24" spans="2:16" ht="18" customHeight="1" x14ac:dyDescent="0.2">
      <c r="B24" s="437">
        <f>Worksheet!$F$30</f>
        <v>0</v>
      </c>
      <c r="C24" s="438" t="s">
        <v>4</v>
      </c>
      <c r="D24" s="439">
        <f>Worksheet!$H$30</f>
        <v>0</v>
      </c>
      <c r="E24" s="440"/>
      <c r="F24" s="437">
        <f>Worksheet!$F$31</f>
        <v>0</v>
      </c>
      <c r="G24" s="438" t="s">
        <v>4</v>
      </c>
      <c r="H24" s="439">
        <f>Worksheet!$H$31</f>
        <v>0</v>
      </c>
      <c r="J24" s="437">
        <f>Worksheet!$F$31</f>
        <v>0</v>
      </c>
      <c r="K24" s="438" t="s">
        <v>4</v>
      </c>
      <c r="L24" s="439">
        <f>Worksheet!$H$31</f>
        <v>0</v>
      </c>
      <c r="N24" s="437">
        <f>Worksheet!$F$31</f>
        <v>0</v>
      </c>
      <c r="O24" s="438" t="s">
        <v>4</v>
      </c>
      <c r="P24" s="439">
        <f>Worksheet!$H$31</f>
        <v>0</v>
      </c>
    </row>
    <row r="25" spans="2:16" ht="19.350000000000001" customHeight="1" x14ac:dyDescent="0.2">
      <c r="B25" s="434" t="str">
        <f>Worksheet!$B$32</f>
        <v>A18</v>
      </c>
      <c r="C25" s="544">
        <f>Worksheet!$C$32</f>
        <v>0</v>
      </c>
      <c r="D25" s="545"/>
      <c r="E25" s="440"/>
      <c r="F25" s="434" t="str">
        <f>Worksheet!$B$32</f>
        <v>A18</v>
      </c>
      <c r="G25" s="544">
        <f>Worksheet!$C$32</f>
        <v>0</v>
      </c>
      <c r="H25" s="545"/>
      <c r="J25" s="434" t="str">
        <f>Worksheet!$B$32</f>
        <v>A18</v>
      </c>
      <c r="K25" s="544">
        <f>Worksheet!$C$32</f>
        <v>0</v>
      </c>
      <c r="L25" s="545"/>
      <c r="N25" s="434" t="str">
        <f>Worksheet!$B$33</f>
        <v>A19</v>
      </c>
      <c r="O25" s="544">
        <f>Worksheet!$C$33</f>
        <v>0</v>
      </c>
      <c r="P25" s="545"/>
    </row>
    <row r="26" spans="2:16" ht="19.350000000000001" customHeight="1" x14ac:dyDescent="0.2">
      <c r="B26" s="437">
        <f>Worksheet!$F$32</f>
        <v>0</v>
      </c>
      <c r="C26" s="438" t="s">
        <v>4</v>
      </c>
      <c r="D26" s="439">
        <f>Worksheet!$H$32</f>
        <v>0</v>
      </c>
      <c r="E26" s="440"/>
      <c r="F26" s="437">
        <f>Worksheet!$F$32</f>
        <v>0</v>
      </c>
      <c r="G26" s="438" t="s">
        <v>4</v>
      </c>
      <c r="H26" s="439">
        <f>Worksheet!$H$32</f>
        <v>0</v>
      </c>
      <c r="J26" s="437">
        <f>Worksheet!$F$32</f>
        <v>0</v>
      </c>
      <c r="K26" s="438" t="s">
        <v>4</v>
      </c>
      <c r="L26" s="439">
        <f>Worksheet!$H$32</f>
        <v>0</v>
      </c>
      <c r="N26" s="437">
        <f>Worksheet!$F$33</f>
        <v>0</v>
      </c>
      <c r="O26" s="438" t="s">
        <v>4</v>
      </c>
      <c r="P26" s="439">
        <f>Worksheet!$H$33</f>
        <v>0</v>
      </c>
    </row>
    <row r="27" spans="2:16" ht="19.350000000000001" customHeight="1" x14ac:dyDescent="0.2">
      <c r="B27" s="434" t="str">
        <f>Worksheet!$B$33</f>
        <v>A19</v>
      </c>
      <c r="C27" s="544">
        <f>Worksheet!$C$33</f>
        <v>0</v>
      </c>
      <c r="D27" s="545"/>
      <c r="E27" s="440"/>
      <c r="F27" s="434" t="str">
        <f>Worksheet!$B$33</f>
        <v>A19</v>
      </c>
      <c r="G27" s="544">
        <f>Worksheet!$C$33</f>
        <v>0</v>
      </c>
      <c r="H27" s="545"/>
      <c r="J27" s="434" t="str">
        <f>Worksheet!$B$34</f>
        <v>A20</v>
      </c>
      <c r="K27" s="544">
        <f>Worksheet!$C$34</f>
        <v>0</v>
      </c>
      <c r="L27" s="545"/>
      <c r="N27" s="434" t="str">
        <f>Worksheet!$B$34</f>
        <v>A20</v>
      </c>
      <c r="O27" s="544">
        <f>Worksheet!$C$34</f>
        <v>0</v>
      </c>
      <c r="P27" s="545"/>
    </row>
    <row r="28" spans="2:16" ht="19.350000000000001" customHeight="1" x14ac:dyDescent="0.2">
      <c r="B28" s="437">
        <f>Worksheet!$F$33</f>
        <v>0</v>
      </c>
      <c r="C28" s="438" t="s">
        <v>4</v>
      </c>
      <c r="D28" s="439">
        <f>Worksheet!$H$33</f>
        <v>0</v>
      </c>
      <c r="E28" s="440"/>
      <c r="F28" s="437">
        <f>Worksheet!$F$33</f>
        <v>0</v>
      </c>
      <c r="G28" s="438" t="s">
        <v>4</v>
      </c>
      <c r="H28" s="439">
        <f>Worksheet!$H$33</f>
        <v>0</v>
      </c>
      <c r="J28" s="437">
        <f>Worksheet!$F$34</f>
        <v>0</v>
      </c>
      <c r="K28" s="438" t="s">
        <v>4</v>
      </c>
      <c r="L28" s="439">
        <f>Worksheet!$H$34</f>
        <v>0</v>
      </c>
      <c r="N28" s="437">
        <f>Worksheet!$F$34</f>
        <v>0</v>
      </c>
      <c r="O28" s="438" t="s">
        <v>4</v>
      </c>
      <c r="P28" s="439">
        <f>Worksheet!$H$34</f>
        <v>0</v>
      </c>
    </row>
    <row r="29" spans="2:16" ht="19.350000000000001" customHeight="1" x14ac:dyDescent="0.2">
      <c r="B29" s="434" t="str">
        <f>Worksheet!$B$34</f>
        <v>A20</v>
      </c>
      <c r="C29" s="544">
        <f>Worksheet!$C$34</f>
        <v>0</v>
      </c>
      <c r="D29" s="545"/>
      <c r="E29" s="440"/>
      <c r="F29" s="443"/>
      <c r="G29" s="544"/>
      <c r="H29" s="544"/>
      <c r="J29" s="443"/>
      <c r="K29" s="544"/>
      <c r="L29" s="544"/>
      <c r="N29" s="443"/>
      <c r="O29" s="544"/>
      <c r="P29" s="544"/>
    </row>
    <row r="30" spans="2:16" ht="19.350000000000001" customHeight="1" x14ac:dyDescent="0.2">
      <c r="B30" s="437">
        <f>Worksheet!$F$34</f>
        <v>0</v>
      </c>
      <c r="C30" s="438" t="s">
        <v>4</v>
      </c>
      <c r="D30" s="439">
        <f>Worksheet!$H$34</f>
        <v>0</v>
      </c>
      <c r="E30" s="440"/>
      <c r="F30" s="440"/>
      <c r="G30" s="440"/>
      <c r="H30" s="440"/>
      <c r="J30" s="440"/>
      <c r="K30" s="440"/>
      <c r="L30" s="440"/>
      <c r="N30" s="440"/>
      <c r="O30" s="440"/>
      <c r="P30" s="440"/>
    </row>
    <row r="31" spans="2:16" ht="18" customHeight="1" x14ac:dyDescent="0.2">
      <c r="B31" s="443"/>
      <c r="C31" s="544"/>
      <c r="D31" s="544"/>
      <c r="E31" s="440"/>
      <c r="G31" s="548"/>
      <c r="H31" s="548"/>
      <c r="K31" s="548"/>
      <c r="L31" s="548"/>
      <c r="O31" s="548"/>
      <c r="P31" s="548"/>
    </row>
    <row r="32" spans="2:16" ht="18" customHeight="1" x14ac:dyDescent="0.2">
      <c r="B32" s="440"/>
      <c r="C32" s="440"/>
      <c r="D32" s="440"/>
      <c r="E32" s="440"/>
      <c r="F32" s="440"/>
      <c r="G32" s="440"/>
      <c r="H32" s="440"/>
      <c r="J32" s="440"/>
      <c r="K32" s="440"/>
      <c r="L32" s="440"/>
      <c r="N32" s="440"/>
      <c r="O32" s="440"/>
      <c r="P32" s="440"/>
    </row>
    <row r="33" spans="2:16" ht="18" customHeight="1" x14ac:dyDescent="0.2">
      <c r="C33" s="548"/>
      <c r="D33" s="548"/>
      <c r="E33" s="440"/>
      <c r="G33" s="548"/>
      <c r="H33" s="548"/>
      <c r="K33" s="548"/>
      <c r="L33" s="548"/>
      <c r="O33" s="548"/>
      <c r="P33" s="548"/>
    </row>
    <row r="34" spans="2:16" ht="18" customHeight="1" x14ac:dyDescent="0.2">
      <c r="B34" s="440"/>
      <c r="C34" s="440"/>
      <c r="D34" s="440"/>
      <c r="E34" s="440"/>
      <c r="F34" s="440"/>
      <c r="G34" s="440"/>
      <c r="H34" s="440"/>
      <c r="J34" s="440"/>
      <c r="K34" s="440"/>
      <c r="L34" s="440"/>
      <c r="N34" s="440"/>
      <c r="O34" s="440"/>
      <c r="P34" s="440"/>
    </row>
    <row r="35" spans="2:16" ht="18" customHeight="1" x14ac:dyDescent="0.2">
      <c r="C35" s="548"/>
      <c r="D35" s="548"/>
      <c r="E35" s="440"/>
      <c r="G35" s="548"/>
      <c r="H35" s="548"/>
      <c r="K35" s="548"/>
      <c r="L35" s="548"/>
      <c r="O35" s="548"/>
      <c r="P35" s="548"/>
    </row>
    <row r="36" spans="2:16" ht="18" customHeight="1" x14ac:dyDescent="0.2">
      <c r="B36" s="440"/>
      <c r="C36" s="440"/>
      <c r="D36" s="440"/>
      <c r="E36" s="440"/>
      <c r="F36" s="440"/>
      <c r="G36" s="440"/>
      <c r="H36" s="440"/>
      <c r="J36" s="440"/>
      <c r="K36" s="440"/>
      <c r="L36" s="440"/>
      <c r="N36" s="440"/>
      <c r="O36" s="440"/>
      <c r="P36" s="440"/>
    </row>
    <row r="37" spans="2:16" ht="18" customHeight="1" x14ac:dyDescent="0.2">
      <c r="C37" s="548"/>
      <c r="D37" s="548"/>
      <c r="E37" s="440"/>
      <c r="G37" s="548"/>
      <c r="H37" s="548"/>
      <c r="K37" s="548"/>
      <c r="L37" s="548"/>
      <c r="P37" s="435"/>
    </row>
    <row r="38" spans="2:16" ht="18" customHeight="1" x14ac:dyDescent="0.2">
      <c r="B38" s="440"/>
      <c r="C38" s="440"/>
      <c r="D38" s="440"/>
      <c r="E38" s="440"/>
      <c r="F38" s="440"/>
      <c r="G38" s="440"/>
      <c r="H38" s="440"/>
      <c r="J38" s="440"/>
      <c r="K38" s="440"/>
      <c r="L38" s="440"/>
      <c r="N38" s="440"/>
      <c r="O38" s="440"/>
      <c r="P38" s="440"/>
    </row>
    <row r="39" spans="2:16" ht="19.350000000000001" customHeight="1" x14ac:dyDescent="0.2">
      <c r="B39" s="445"/>
      <c r="C39" s="440"/>
      <c r="D39" s="445"/>
      <c r="E39" s="440"/>
      <c r="F39" s="445"/>
      <c r="G39" s="440"/>
      <c r="H39" s="445"/>
      <c r="J39" s="445"/>
      <c r="K39" s="440"/>
      <c r="L39" s="445"/>
      <c r="N39" s="445"/>
      <c r="O39" s="440"/>
      <c r="P39" s="446"/>
    </row>
    <row r="40" spans="2:16" ht="18.649999999999999" customHeight="1" x14ac:dyDescent="0.2">
      <c r="B40" s="445"/>
      <c r="C40" s="440"/>
      <c r="D40" s="445"/>
      <c r="E40" s="440"/>
      <c r="F40" s="445"/>
      <c r="G40" s="440"/>
      <c r="H40" s="445"/>
      <c r="J40" s="445"/>
      <c r="K40" s="440"/>
      <c r="L40" s="445"/>
      <c r="N40" s="445"/>
      <c r="O40" s="440"/>
      <c r="P40" s="446"/>
    </row>
    <row r="41" spans="2:16" ht="18" customHeight="1" x14ac:dyDescent="0.2">
      <c r="B41" s="445"/>
      <c r="C41" s="440"/>
      <c r="D41" s="445"/>
      <c r="E41" s="440"/>
      <c r="F41" s="445"/>
      <c r="G41" s="440"/>
      <c r="H41" s="445"/>
      <c r="J41" s="445"/>
      <c r="K41" s="447"/>
      <c r="L41" s="445"/>
      <c r="N41" s="445"/>
      <c r="O41" s="440"/>
      <c r="P41" s="446"/>
    </row>
    <row r="42" spans="2:16" ht="18" customHeight="1" x14ac:dyDescent="0.2">
      <c r="B42" s="445"/>
      <c r="C42" s="440"/>
      <c r="D42" s="445"/>
      <c r="E42" s="440"/>
      <c r="F42" s="445"/>
      <c r="G42" s="440"/>
      <c r="H42" s="445"/>
      <c r="J42" s="445"/>
      <c r="K42" s="440"/>
      <c r="L42" s="445"/>
      <c r="N42" s="445"/>
      <c r="O42" s="440"/>
      <c r="P42" s="446"/>
    </row>
    <row r="43" spans="2:16" ht="18" customHeight="1" x14ac:dyDescent="0.2">
      <c r="B43" s="445"/>
      <c r="C43" s="440"/>
      <c r="D43" s="445"/>
      <c r="E43" s="440"/>
      <c r="F43" s="445"/>
      <c r="G43" s="440"/>
      <c r="H43" s="445"/>
      <c r="J43" s="445"/>
      <c r="K43" s="440"/>
      <c r="L43" s="445"/>
      <c r="N43" s="445"/>
      <c r="O43" s="440"/>
      <c r="P43" s="446"/>
    </row>
    <row r="44" spans="2:16" ht="18" customHeight="1" x14ac:dyDescent="0.2">
      <c r="B44" s="445"/>
      <c r="C44" s="440"/>
      <c r="D44" s="445"/>
      <c r="E44" s="440"/>
      <c r="F44" s="445"/>
      <c r="G44" s="440"/>
      <c r="H44" s="445"/>
      <c r="J44" s="445"/>
      <c r="K44" s="440"/>
      <c r="L44" s="445"/>
      <c r="N44" s="445"/>
      <c r="O44" s="440"/>
      <c r="P44" s="446"/>
    </row>
    <row r="45" spans="2:16" ht="18" customHeight="1" x14ac:dyDescent="0.2">
      <c r="B45" s="445"/>
      <c r="C45" s="440"/>
      <c r="D45" s="445"/>
      <c r="E45" s="440"/>
      <c r="F45" s="445"/>
      <c r="G45" s="440"/>
      <c r="H45" s="445"/>
      <c r="J45" s="445"/>
      <c r="K45" s="440"/>
      <c r="L45" s="445"/>
      <c r="N45" s="445"/>
      <c r="O45" s="440"/>
      <c r="P45" s="446"/>
    </row>
    <row r="46" spans="2:16" ht="18" customHeight="1" x14ac:dyDescent="0.2">
      <c r="B46" s="445"/>
      <c r="C46" s="440"/>
      <c r="D46" s="445"/>
      <c r="E46" s="440"/>
      <c r="F46" s="445"/>
      <c r="G46" s="440"/>
      <c r="H46" s="445"/>
      <c r="J46" s="445"/>
      <c r="K46" s="440"/>
      <c r="L46" s="445"/>
      <c r="N46" s="445"/>
      <c r="O46" s="440"/>
      <c r="P46" s="446"/>
    </row>
    <row r="47" spans="2:16" ht="18" customHeight="1" x14ac:dyDescent="0.2">
      <c r="B47" s="445"/>
      <c r="C47" s="440"/>
      <c r="D47" s="445"/>
      <c r="E47" s="440"/>
      <c r="F47" s="445"/>
      <c r="G47" s="440"/>
      <c r="H47" s="445"/>
      <c r="J47" s="445"/>
      <c r="K47" s="440"/>
      <c r="L47" s="445"/>
      <c r="N47" s="445"/>
      <c r="O47" s="440"/>
      <c r="P47" s="446"/>
    </row>
    <row r="48" spans="2:16" ht="18" customHeight="1" x14ac:dyDescent="0.2">
      <c r="B48" s="445"/>
      <c r="C48" s="440"/>
      <c r="D48" s="445"/>
      <c r="E48" s="440"/>
      <c r="F48" s="445"/>
      <c r="G48" s="440"/>
      <c r="H48" s="445"/>
      <c r="J48" s="445"/>
      <c r="K48" s="440"/>
      <c r="L48" s="445"/>
      <c r="N48" s="445"/>
      <c r="O48" s="440"/>
      <c r="P48" s="446"/>
    </row>
    <row r="49" spans="2:16" ht="18" customHeight="1" x14ac:dyDescent="0.2">
      <c r="B49" s="445"/>
      <c r="C49" s="440"/>
      <c r="D49" s="445"/>
      <c r="E49" s="440"/>
      <c r="F49" s="445"/>
      <c r="G49" s="440"/>
      <c r="H49" s="445"/>
      <c r="J49" s="445"/>
      <c r="K49" s="440"/>
      <c r="L49" s="445"/>
      <c r="N49" s="445"/>
      <c r="O49" s="440"/>
      <c r="P49" s="446"/>
    </row>
    <row r="50" spans="2:16" ht="18" customHeight="1" x14ac:dyDescent="0.2">
      <c r="B50" s="445"/>
      <c r="C50" s="440"/>
      <c r="D50" s="445"/>
      <c r="E50" s="440"/>
      <c r="F50" s="445"/>
      <c r="G50" s="440"/>
      <c r="H50" s="445"/>
      <c r="J50" s="445"/>
      <c r="K50" s="440"/>
      <c r="L50" s="445"/>
      <c r="N50" s="445"/>
      <c r="O50" s="440"/>
      <c r="P50" s="446"/>
    </row>
    <row r="51" spans="2:16" x14ac:dyDescent="0.2">
      <c r="B51" s="445"/>
      <c r="C51" s="440"/>
      <c r="D51" s="445"/>
      <c r="E51" s="440"/>
      <c r="F51" s="445"/>
      <c r="G51" s="440"/>
      <c r="H51" s="445"/>
      <c r="J51" s="445"/>
      <c r="K51" s="440"/>
      <c r="L51" s="445"/>
      <c r="N51" s="445"/>
      <c r="O51" s="440"/>
      <c r="P51" s="446"/>
    </row>
    <row r="52" spans="2:16" x14ac:dyDescent="0.2">
      <c r="B52" s="445"/>
      <c r="C52" s="440"/>
      <c r="D52" s="445"/>
      <c r="E52" s="440"/>
      <c r="F52" s="445"/>
      <c r="G52" s="440"/>
      <c r="H52" s="445"/>
      <c r="J52" s="445"/>
      <c r="K52" s="440"/>
      <c r="L52" s="445"/>
      <c r="N52" s="445"/>
      <c r="O52" s="440"/>
      <c r="P52" s="446"/>
    </row>
  </sheetData>
  <mergeCells count="75">
    <mergeCell ref="C37:D37"/>
    <mergeCell ref="G37:H37"/>
    <mergeCell ref="K37:L37"/>
    <mergeCell ref="C35:D35"/>
    <mergeCell ref="G35:H35"/>
    <mergeCell ref="K35:L35"/>
    <mergeCell ref="O35:P35"/>
    <mergeCell ref="C33:D33"/>
    <mergeCell ref="G33:H33"/>
    <mergeCell ref="K33:L33"/>
    <mergeCell ref="O33:P33"/>
    <mergeCell ref="C31:D31"/>
    <mergeCell ref="G31:H31"/>
    <mergeCell ref="K31:L31"/>
    <mergeCell ref="O31:P31"/>
    <mergeCell ref="C29:D29"/>
    <mergeCell ref="G29:H29"/>
    <mergeCell ref="K29:L29"/>
    <mergeCell ref="O29:P29"/>
    <mergeCell ref="C27:D27"/>
    <mergeCell ref="G27:H27"/>
    <mergeCell ref="K27:L27"/>
    <mergeCell ref="O27:P27"/>
    <mergeCell ref="C25:D25"/>
    <mergeCell ref="G25:H25"/>
    <mergeCell ref="K25:L25"/>
    <mergeCell ref="O25:P25"/>
    <mergeCell ref="C23:D23"/>
    <mergeCell ref="G23:H23"/>
    <mergeCell ref="K23:L23"/>
    <mergeCell ref="O23:P23"/>
    <mergeCell ref="C21:D21"/>
    <mergeCell ref="G21:H21"/>
    <mergeCell ref="K21:L21"/>
    <mergeCell ref="O21:P21"/>
    <mergeCell ref="C19:D19"/>
    <mergeCell ref="G19:H19"/>
    <mergeCell ref="K19:L19"/>
    <mergeCell ref="O19:P19"/>
    <mergeCell ref="C17:D17"/>
    <mergeCell ref="G17:H17"/>
    <mergeCell ref="K17:L17"/>
    <mergeCell ref="O17:P17"/>
    <mergeCell ref="C15:D15"/>
    <mergeCell ref="G15:H15"/>
    <mergeCell ref="K15:L15"/>
    <mergeCell ref="O15:P15"/>
    <mergeCell ref="C13:D13"/>
    <mergeCell ref="G13:H13"/>
    <mergeCell ref="K13:L13"/>
    <mergeCell ref="O13:P13"/>
    <mergeCell ref="C11:D11"/>
    <mergeCell ref="G11:H11"/>
    <mergeCell ref="K11:L11"/>
    <mergeCell ref="O11:P11"/>
    <mergeCell ref="C9:D9"/>
    <mergeCell ref="G9:H9"/>
    <mergeCell ref="K9:L9"/>
    <mergeCell ref="O9:P9"/>
    <mergeCell ref="C7:D7"/>
    <mergeCell ref="G7:H7"/>
    <mergeCell ref="K7:L7"/>
    <mergeCell ref="O7:P7"/>
    <mergeCell ref="C5:D5"/>
    <mergeCell ref="G5:H5"/>
    <mergeCell ref="K5:L5"/>
    <mergeCell ref="O5:P5"/>
    <mergeCell ref="C3:D3"/>
    <mergeCell ref="G3:H3"/>
    <mergeCell ref="K3:L3"/>
    <mergeCell ref="O3:P3"/>
    <mergeCell ref="C1:D1"/>
    <mergeCell ref="G1:H1"/>
    <mergeCell ref="K1:L1"/>
    <mergeCell ref="O1:P1"/>
  </mergeCells>
  <pageMargins left="0.313" right="0.313" top="0.5" bottom="0.5" header="0" footer="0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57</vt:i4>
      </vt:variant>
    </vt:vector>
  </HeadingPairs>
  <TitlesOfParts>
    <vt:vector size="67" baseType="lpstr">
      <vt:lpstr>General_Bid</vt:lpstr>
      <vt:lpstr>Data Sheet</vt:lpstr>
      <vt:lpstr>Worksheet</vt:lpstr>
      <vt:lpstr>Tickets</vt:lpstr>
      <vt:lpstr>Tube Cut</vt:lpstr>
      <vt:lpstr>Shade Shop Copy</vt:lpstr>
      <vt:lpstr>Installation Copy</vt:lpstr>
      <vt:lpstr>Package Labels</vt:lpstr>
      <vt:lpstr>Fascia Labels</vt:lpstr>
      <vt:lpstr>Factor update</vt:lpstr>
      <vt:lpstr>'Fascia Labels'!bill_name</vt:lpstr>
      <vt:lpstr>'Installation Copy'!Bill_Name</vt:lpstr>
      <vt:lpstr>'Shade Shop Copy'!Bill_Name</vt:lpstr>
      <vt:lpstr>Tickets!Bill_Name</vt:lpstr>
      <vt:lpstr>Bill_Name</vt:lpstr>
      <vt:lpstr>'Fascia Labels'!bracket</vt:lpstr>
      <vt:lpstr>Tickets!bracket</vt:lpstr>
      <vt:lpstr>bracket</vt:lpstr>
      <vt:lpstr>'Fascia Labels'!channel</vt:lpstr>
      <vt:lpstr>Tickets!channel</vt:lpstr>
      <vt:lpstr>channel</vt:lpstr>
      <vt:lpstr>'Fascia Labels'!Fabric_1</vt:lpstr>
      <vt:lpstr>'Package Labels'!Fabric_1</vt:lpstr>
      <vt:lpstr>Tickets!Fabric_1</vt:lpstr>
      <vt:lpstr>Fabric_1</vt:lpstr>
      <vt:lpstr>'Fascia Labels'!Fabric_2</vt:lpstr>
      <vt:lpstr>'Package Labels'!Fabric_2</vt:lpstr>
      <vt:lpstr>Tickets!Fabric_2</vt:lpstr>
      <vt:lpstr>Fabric_2</vt:lpstr>
      <vt:lpstr>'Fascia Labels'!Fabric_3</vt:lpstr>
      <vt:lpstr>'Package Labels'!Fabric_3</vt:lpstr>
      <vt:lpstr>Tickets!Fabric_3</vt:lpstr>
      <vt:lpstr>Fabric_3</vt:lpstr>
      <vt:lpstr>'Fascia Labels'!Fabric_4</vt:lpstr>
      <vt:lpstr>'Package Labels'!Fabric_4</vt:lpstr>
      <vt:lpstr>Tickets!Fabric_4</vt:lpstr>
      <vt:lpstr>Fabric_4</vt:lpstr>
      <vt:lpstr>'Fascia Labels'!facia</vt:lpstr>
      <vt:lpstr>Tickets!facia</vt:lpstr>
      <vt:lpstr>facia</vt:lpstr>
      <vt:lpstr>factor</vt:lpstr>
      <vt:lpstr>'Installation Copy'!Install</vt:lpstr>
      <vt:lpstr>'Shade Shop Copy'!Install</vt:lpstr>
      <vt:lpstr>Tickets!Install</vt:lpstr>
      <vt:lpstr>Install</vt:lpstr>
      <vt:lpstr>'Fascia Labels'!jobname</vt:lpstr>
      <vt:lpstr>'Installation Copy'!jobname</vt:lpstr>
      <vt:lpstr>'Package Labels'!jobname</vt:lpstr>
      <vt:lpstr>'Shade Shop Copy'!jobname</vt:lpstr>
      <vt:lpstr>Tickets!jobname</vt:lpstr>
      <vt:lpstr>jobname</vt:lpstr>
      <vt:lpstr>'Fascia Labels'!jobnumber</vt:lpstr>
      <vt:lpstr>Tickets!jobnumber</vt:lpstr>
      <vt:lpstr>jobnumber</vt:lpstr>
      <vt:lpstr>'Installation Copy'!line1</vt:lpstr>
      <vt:lpstr>'Shade Shop Copy'!line1</vt:lpstr>
      <vt:lpstr>'Tube Cut'!line1</vt:lpstr>
      <vt:lpstr>line1</vt:lpstr>
      <vt:lpstr>'Factor update'!markup</vt:lpstr>
      <vt:lpstr>'Fascia Labels'!Print_Area</vt:lpstr>
      <vt:lpstr>General_Bid!Print_Area</vt:lpstr>
      <vt:lpstr>'Installation Copy'!Print_Area</vt:lpstr>
      <vt:lpstr>'Package Labels'!Print_Area</vt:lpstr>
      <vt:lpstr>'Shade Shop Copy'!Print_Area</vt:lpstr>
      <vt:lpstr>Tickets!Print_Area</vt:lpstr>
      <vt:lpstr>'Tube Cut'!Print_Area</vt:lpstr>
      <vt:lpstr>Worksheet!Print_Area</vt:lpstr>
    </vt:vector>
  </TitlesOfParts>
  <Company>Colton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Heidi</dc:creator>
  <cp:lastModifiedBy>Colton Inc.</cp:lastModifiedBy>
  <cp:lastPrinted>2025-06-05T15:21:51Z</cp:lastPrinted>
  <dcterms:created xsi:type="dcterms:W3CDTF">1999-06-03T14:17:59Z</dcterms:created>
  <dcterms:modified xsi:type="dcterms:W3CDTF">2025-06-05T15:26:15Z</dcterms:modified>
</cp:coreProperties>
</file>