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Y:\Server\Quotations\Church Quotes - ALL CHURCH JOBS\JLL\Utah\UTAH - Doyle\"/>
    </mc:Choice>
  </mc:AlternateContent>
  <xr:revisionPtr revIDLastSave="0" documentId="13_ncr:1_{C6B300B4-B304-4536-9ED1-BC9806C614FE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Data Sheet" sheetId="21" r:id="rId1"/>
    <sheet name="General_Bid" sheetId="56" r:id="rId2"/>
    <sheet name="Worksheet" sheetId="52" r:id="rId3"/>
    <sheet name="Tickets" sheetId="53" r:id="rId4"/>
    <sheet name="Shade shop copy" sheetId="58" r:id="rId5"/>
    <sheet name="Tube Cut" sheetId="54" r:id="rId6"/>
    <sheet name="Installation Copy" sheetId="59" r:id="rId7"/>
    <sheet name="Worksheet (2)" sheetId="67" r:id="rId8"/>
    <sheet name="Tickets (2)" sheetId="68" r:id="rId9"/>
    <sheet name="Shade shop copy (2)" sheetId="69" r:id="rId10"/>
    <sheet name="Tube Cut (2)" sheetId="70" r:id="rId11"/>
    <sheet name="Installation Copy (2)" sheetId="71" r:id="rId12"/>
    <sheet name="Package Labels" sheetId="65" r:id="rId13"/>
    <sheet name="Fascia Labels" sheetId="66" r:id="rId14"/>
    <sheet name="Factor update" sheetId="25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bill_name" localSheetId="13">Worksheet!$C$5</definedName>
    <definedName name="bill_name" localSheetId="1">Worksheet!$H$7</definedName>
    <definedName name="bill_name" localSheetId="6">'Installation Copy'!$C$5</definedName>
    <definedName name="bill_name" localSheetId="11">'Installation Copy (2)'!$C$5</definedName>
    <definedName name="bill_name" localSheetId="12">[1]Worksheet!$C$5</definedName>
    <definedName name="bill_name" localSheetId="4">'Shade shop copy'!$J$8</definedName>
    <definedName name="bill_name" localSheetId="9">'Shade shop copy (2)'!$J$8</definedName>
    <definedName name="bill_name" localSheetId="3">Worksheet!$C$5</definedName>
    <definedName name="bill_name" localSheetId="8">'Worksheet (2)'!$C$5</definedName>
    <definedName name="bill_name">Worksheet!$C$5</definedName>
    <definedName name="bracket" localSheetId="13">Worksheet!$AA$5</definedName>
    <definedName name="bracket" localSheetId="1">Worksheet!$AJ$6</definedName>
    <definedName name="bracket" localSheetId="12">[1]Worksheet!$Y$5</definedName>
    <definedName name="bracket" localSheetId="3">Worksheet!$AA$5</definedName>
    <definedName name="bracket" localSheetId="8">'Worksheet (2)'!$AA$5</definedName>
    <definedName name="bracket">Worksheet!$AA$5</definedName>
    <definedName name="channel" localSheetId="13">Worksheet!$AA$7</definedName>
    <definedName name="channel" localSheetId="1">Worksheet!$AJ$8</definedName>
    <definedName name="channel" localSheetId="12">[1]Worksheet!$Y$7</definedName>
    <definedName name="channel" localSheetId="3">Worksheet!$AA$7</definedName>
    <definedName name="channel" localSheetId="8">'Worksheet (2)'!$AA$7</definedName>
    <definedName name="channel">Worksheet!$AA$7</definedName>
    <definedName name="Cyc_fab">'[2]Stage worksheet'!$T$7</definedName>
    <definedName name="Deliver" localSheetId="1">Worksheet!$R$4</definedName>
    <definedName name="Fabric_1" localSheetId="13">Worksheet!$X$6</definedName>
    <definedName name="Fabric_1" localSheetId="1">Worksheet!$X$6</definedName>
    <definedName name="Fabric_1" localSheetId="12">Worksheet!$X$6</definedName>
    <definedName name="Fabric_1" localSheetId="3">Worksheet!$X$6</definedName>
    <definedName name="Fabric_1" localSheetId="8">'Worksheet (2)'!$X$6</definedName>
    <definedName name="Fabric_1">Worksheet!$X$6</definedName>
    <definedName name="Fabric_2" localSheetId="13">Worksheet!$X$7</definedName>
    <definedName name="Fabric_2" localSheetId="1">Worksheet!$X$7</definedName>
    <definedName name="Fabric_2" localSheetId="12">Worksheet!$X$7</definedName>
    <definedName name="Fabric_2" localSheetId="3">Worksheet!$X$7</definedName>
    <definedName name="Fabric_2" localSheetId="8">'Worksheet (2)'!$X$7</definedName>
    <definedName name="Fabric_2">Worksheet!$X$7</definedName>
    <definedName name="Fabric_3" localSheetId="13">Worksheet!$X$8</definedName>
    <definedName name="Fabric_3" localSheetId="1">Worksheet!$X$8</definedName>
    <definedName name="Fabric_3" localSheetId="12">Worksheet!$X$8</definedName>
    <definedName name="Fabric_3" localSheetId="3">Worksheet!$X$8</definedName>
    <definedName name="Fabric_3" localSheetId="8">'Worksheet (2)'!$X$8</definedName>
    <definedName name="Fabric_3">Worksheet!$X$8</definedName>
    <definedName name="Fabric_4" localSheetId="13">Worksheet!$X$9</definedName>
    <definedName name="Fabric_4" localSheetId="1">Worksheet!$X$9</definedName>
    <definedName name="Fabric_4" localSheetId="12">Worksheet!$X$9</definedName>
    <definedName name="Fabric_4" localSheetId="3">Worksheet!$X$9</definedName>
    <definedName name="Fabric_4" localSheetId="8">'Worksheet (2)'!$X$9</definedName>
    <definedName name="Fabric_4">Worksheet!$X$9</definedName>
    <definedName name="facia" localSheetId="13">Worksheet!$AA$6</definedName>
    <definedName name="facia" localSheetId="1">Worksheet!$AJ$7</definedName>
    <definedName name="facia" localSheetId="12">[1]Worksheet!$Y$6</definedName>
    <definedName name="facia" localSheetId="3">Worksheet!$AA$6</definedName>
    <definedName name="facia" localSheetId="8">'Worksheet (2)'!$AA$6</definedName>
    <definedName name="facia">Worksheet!$AA$6</definedName>
    <definedName name="factor" localSheetId="1">Worksheet!$AJ$5</definedName>
    <definedName name="factor" localSheetId="12">[1]Worksheet!$Y$4</definedName>
    <definedName name="factor" localSheetId="3">[3]Worksheet!$Y$4</definedName>
    <definedName name="factor" localSheetId="8">[3]Worksheet!$Y$4</definedName>
    <definedName name="factor">[3]Worksheet!$Y$4</definedName>
    <definedName name="FactorUpdate" localSheetId="13">[4]Worksheet!$Y$4</definedName>
    <definedName name="FactorUpdate" localSheetId="4">[4]Worksheet!$Y$4</definedName>
    <definedName name="FactorUpdate" localSheetId="9">[4]Worksheet!$Y$4</definedName>
    <definedName name="FactorUpdate" localSheetId="3">[5]Worksheet!$Y$4</definedName>
    <definedName name="FactorUpdate" localSheetId="8">[5]Worksheet!$Y$4</definedName>
    <definedName name="FactorUpdate">[5]Worksheet!$Y$4</definedName>
    <definedName name="heavy_tube" localSheetId="1">Worksheet!$R$7</definedName>
    <definedName name="Install" localSheetId="1">Worksheet!$R$3</definedName>
    <definedName name="install">'[2]Stage worksheet'!$T$4</definedName>
    <definedName name="jobname" localSheetId="13">Worksheet!$J$5</definedName>
    <definedName name="jobname" localSheetId="1">Worksheet!$J$5</definedName>
    <definedName name="jobname" localSheetId="6">'Installation Copy'!$J$5</definedName>
    <definedName name="jobname" localSheetId="11">'Installation Copy (2)'!$J$5</definedName>
    <definedName name="jobname" localSheetId="12">Worksheet!$J$5</definedName>
    <definedName name="jobname" localSheetId="4">'Shade shop copy'!$J$5</definedName>
    <definedName name="jobname" localSheetId="9">'Shade shop copy (2)'!$J$5</definedName>
    <definedName name="jobname" localSheetId="3">Worksheet!$J$5</definedName>
    <definedName name="jobname" localSheetId="8">'Worksheet (2)'!$J$5</definedName>
    <definedName name="jobname">Worksheet!$J$5</definedName>
    <definedName name="jobnumber" localSheetId="13">Worksheet!$AA$2</definedName>
    <definedName name="jobnumber" localSheetId="3">Worksheet!$AA$2</definedName>
    <definedName name="jobnumber" localSheetId="8">'Worksheet (2)'!$AA$2</definedName>
    <definedName name="jobnumber">Worksheet!$AA$2</definedName>
    <definedName name="line1" localSheetId="5">'Tube Cut'!$12:$12</definedName>
    <definedName name="line1" localSheetId="10">'Tube Cut (2)'!$12:$12</definedName>
    <definedName name="markup" localSheetId="14">'Factor update'!$P$2</definedName>
    <definedName name="markup" localSheetId="1">Worksheet!$P$2</definedName>
    <definedName name="PriceFactor">[3]Worksheet!$Y$4</definedName>
    <definedName name="PriceUpdate" localSheetId="4">[4]Worksheet!$Y$4</definedName>
    <definedName name="PriceUpdate" localSheetId="9">[4]Worksheet!$Y$4</definedName>
    <definedName name="PriceUpdate">[5]Worksheet!$Y$4</definedName>
    <definedName name="_xlnm.Print_Area" localSheetId="13">'Fascia Labels'!$R$1:$AF$38,'Fascia Labels'!$B$1:$P$38</definedName>
    <definedName name="_xlnm.Print_Area" localSheetId="1">General_Bid!$A$1:$J$58</definedName>
    <definedName name="_xlnm.Print_Area" localSheetId="6">'Installation Copy'!$B$1:$R$45</definedName>
    <definedName name="_xlnm.Print_Area" localSheetId="11">'Installation Copy (2)'!$B$1:$R$45</definedName>
    <definedName name="_xlnm.Print_Area" localSheetId="12">'Package Labels'!$B$1:$L$30,'Package Labels'!$N$1:$X$30</definedName>
    <definedName name="_xlnm.Print_Area" localSheetId="4">'Shade shop copy'!$B$1:$Q$47</definedName>
    <definedName name="_xlnm.Print_Area" localSheetId="9">'Shade shop copy (2)'!$B$1:$Q$47</definedName>
    <definedName name="_xlnm.Print_Area" localSheetId="3">Tickets!$C$3:$O$62,Tickets!$S$3:$AE$27</definedName>
    <definedName name="_xlnm.Print_Area" localSheetId="8">'Tickets (2)'!$C$3:$O$62,'Tickets (2)'!$S$3:$AE$62,'Tickets (2)'!$AI$3:$AU$62,'Tickets (2)'!$AY$3:$BK$62,'Tickets (2)'!$BO$3:$CA$62</definedName>
    <definedName name="_xlnm.Print_Area" localSheetId="5">'Tube Cut'!$A$1:$N$40</definedName>
    <definedName name="_xlnm.Print_Area" localSheetId="10">'Tube Cut (2)'!$A$1:$N$40</definedName>
    <definedName name="_xlnm.Print_Area" localSheetId="2">Worksheet!$B$1:$AB$47</definedName>
    <definedName name="_xlnm.Print_Area" localSheetId="7">'Worksheet (2)'!$B$1:$AB$47</definedName>
    <definedName name="Proc_Fab">'[2]Stage worksheet'!$T$6</definedName>
    <definedName name="reg_tube" localSheetId="1">Worksheet!$R$6</definedName>
    <definedName name="sew">'[2]Stage worksheet'!$T$5</definedName>
    <definedName name="Will_call" localSheetId="1">Worksheet!$R$5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52" l="1"/>
  <c r="O21" i="52"/>
  <c r="O20" i="52"/>
  <c r="O19" i="52"/>
  <c r="O3" i="67"/>
  <c r="BP6" i="53"/>
  <c r="AZ6" i="53"/>
  <c r="AZ18" i="53"/>
  <c r="BP18" i="53"/>
  <c r="BP30" i="53"/>
  <c r="AZ30" i="53"/>
  <c r="AZ42" i="53"/>
  <c r="BP42" i="53"/>
  <c r="BP54" i="53"/>
  <c r="AZ54" i="53"/>
  <c r="AJ54" i="53"/>
  <c r="T54" i="53"/>
  <c r="T42" i="53"/>
  <c r="AJ42" i="53"/>
  <c r="AJ30" i="53"/>
  <c r="T30" i="53"/>
  <c r="AJ18" i="53"/>
  <c r="T18" i="53"/>
  <c r="AJ6" i="53"/>
  <c r="T6" i="53"/>
  <c r="K54" i="53"/>
  <c r="K42" i="53"/>
  <c r="K30" i="53"/>
  <c r="K18" i="53"/>
  <c r="D54" i="53"/>
  <c r="D42" i="53"/>
  <c r="D30" i="53"/>
  <c r="D18" i="53"/>
  <c r="C3" i="54"/>
  <c r="P2" i="58"/>
  <c r="BO61" i="68"/>
  <c r="BO49" i="68"/>
  <c r="BO37" i="68"/>
  <c r="BO25" i="68"/>
  <c r="BO13" i="68"/>
  <c r="AY61" i="68"/>
  <c r="AY49" i="68"/>
  <c r="AY37" i="68"/>
  <c r="AY25" i="68"/>
  <c r="AY13" i="68"/>
  <c r="AI61" i="68"/>
  <c r="AI49" i="68"/>
  <c r="AI37" i="68"/>
  <c r="AI25" i="68"/>
  <c r="AI13" i="68"/>
  <c r="S49" i="68"/>
  <c r="S61" i="68"/>
  <c r="S37" i="68"/>
  <c r="S25" i="68"/>
  <c r="S13" i="68"/>
  <c r="C61" i="68"/>
  <c r="C49" i="68"/>
  <c r="C37" i="68"/>
  <c r="C25" i="68"/>
  <c r="C13" i="68"/>
  <c r="BO61" i="53"/>
  <c r="BO49" i="53"/>
  <c r="BO37" i="53"/>
  <c r="BO13" i="53"/>
  <c r="BO25" i="53"/>
  <c r="AY61" i="53"/>
  <c r="AY49" i="53"/>
  <c r="AY37" i="53"/>
  <c r="AY25" i="53"/>
  <c r="AY13" i="53"/>
  <c r="AI13" i="53"/>
  <c r="AI25" i="53"/>
  <c r="AI37" i="53"/>
  <c r="AI49" i="53"/>
  <c r="AI61" i="53"/>
  <c r="S61" i="53"/>
  <c r="S49" i="53"/>
  <c r="AF40" i="67"/>
  <c r="AE40" i="67"/>
  <c r="AH40" i="67" s="1"/>
  <c r="AH39" i="67"/>
  <c r="AF39" i="67"/>
  <c r="AE39" i="67"/>
  <c r="AF38" i="67"/>
  <c r="AH38" i="67" s="1"/>
  <c r="AE38" i="67"/>
  <c r="AF37" i="67"/>
  <c r="AE37" i="67"/>
  <c r="AH37" i="67" s="1"/>
  <c r="AF36" i="67"/>
  <c r="AE36" i="67"/>
  <c r="AH36" i="67" s="1"/>
  <c r="AH35" i="67"/>
  <c r="AF35" i="67"/>
  <c r="AE35" i="67"/>
  <c r="AF34" i="67"/>
  <c r="AH34" i="67" s="1"/>
  <c r="AE34" i="67"/>
  <c r="AF33" i="67"/>
  <c r="AE33" i="67"/>
  <c r="AH33" i="67" s="1"/>
  <c r="AF32" i="67"/>
  <c r="AE32" i="67"/>
  <c r="AH32" i="67" s="1"/>
  <c r="AH31" i="67"/>
  <c r="AF31" i="67"/>
  <c r="AE31" i="67"/>
  <c r="AF30" i="67"/>
  <c r="AH30" i="67" s="1"/>
  <c r="AE30" i="67"/>
  <c r="AF29" i="67"/>
  <c r="AE29" i="67"/>
  <c r="AH29" i="67" s="1"/>
  <c r="AF28" i="67"/>
  <c r="AE28" i="67"/>
  <c r="AH28" i="67" s="1"/>
  <c r="AH27" i="67"/>
  <c r="AF27" i="67"/>
  <c r="AE27" i="67"/>
  <c r="AF26" i="67"/>
  <c r="AH26" i="67" s="1"/>
  <c r="AE26" i="67"/>
  <c r="AF25" i="67"/>
  <c r="AE25" i="67"/>
  <c r="AH25" i="67" s="1"/>
  <c r="AF24" i="67"/>
  <c r="AE24" i="67"/>
  <c r="AH24" i="67" s="1"/>
  <c r="AH23" i="67"/>
  <c r="AF23" i="67"/>
  <c r="AE23" i="67"/>
  <c r="AF22" i="67"/>
  <c r="AH22" i="67" s="1"/>
  <c r="AE22" i="67"/>
  <c r="AF21" i="67"/>
  <c r="AE21" i="67"/>
  <c r="AH21" i="67" s="1"/>
  <c r="AF20" i="67"/>
  <c r="AE20" i="67"/>
  <c r="AH20" i="67" s="1"/>
  <c r="AH19" i="67"/>
  <c r="AF19" i="67"/>
  <c r="AE19" i="67"/>
  <c r="AF18" i="67"/>
  <c r="AE18" i="67"/>
  <c r="AH18" i="67" s="1"/>
  <c r="AF17" i="67"/>
  <c r="AE17" i="67"/>
  <c r="AH17" i="67" s="1"/>
  <c r="AH16" i="67"/>
  <c r="AF16" i="67"/>
  <c r="AE16" i="67"/>
  <c r="AE17" i="52"/>
  <c r="AE18" i="52"/>
  <c r="AE19" i="52"/>
  <c r="AE20" i="52"/>
  <c r="AE21" i="52"/>
  <c r="AE22" i="52"/>
  <c r="AE23" i="52"/>
  <c r="AE24" i="52"/>
  <c r="AE25" i="52"/>
  <c r="AE26" i="52"/>
  <c r="AE27" i="52"/>
  <c r="AE28" i="52"/>
  <c r="AE29" i="52"/>
  <c r="AE30" i="52"/>
  <c r="AE31" i="52"/>
  <c r="AE32" i="52"/>
  <c r="AE33" i="52"/>
  <c r="AE34" i="52"/>
  <c r="AE35" i="52"/>
  <c r="AE36" i="52"/>
  <c r="AE37" i="52"/>
  <c r="AE38" i="52"/>
  <c r="AE39" i="52"/>
  <c r="AE40" i="52"/>
  <c r="AF17" i="52"/>
  <c r="AH17" i="52" s="1"/>
  <c r="C25" i="53" s="1"/>
  <c r="AF18" i="52"/>
  <c r="AF19" i="52"/>
  <c r="AF20" i="52"/>
  <c r="AF21" i="52"/>
  <c r="AF22" i="52"/>
  <c r="AF23" i="52"/>
  <c r="AF24" i="52"/>
  <c r="AF25" i="52"/>
  <c r="AF26" i="52"/>
  <c r="AF27" i="52"/>
  <c r="AF28" i="52"/>
  <c r="AF29" i="52"/>
  <c r="AF30" i="52"/>
  <c r="AF31" i="52"/>
  <c r="AF32" i="52"/>
  <c r="AF33" i="52"/>
  <c r="AF34" i="52"/>
  <c r="AF35" i="52"/>
  <c r="AF36" i="52"/>
  <c r="AF37" i="52"/>
  <c r="AF38" i="52"/>
  <c r="AF39" i="52"/>
  <c r="AF40" i="52"/>
  <c r="AH24" i="52"/>
  <c r="AH25" i="52"/>
  <c r="AH26" i="52"/>
  <c r="AH27" i="52"/>
  <c r="AH28" i="52"/>
  <c r="AH29" i="52"/>
  <c r="AH30" i="52"/>
  <c r="AH31" i="52"/>
  <c r="AH32" i="52"/>
  <c r="AH33" i="52"/>
  <c r="AH34" i="52"/>
  <c r="AH35" i="52"/>
  <c r="AH36" i="52"/>
  <c r="AH37" i="52"/>
  <c r="AH38" i="52"/>
  <c r="AH39" i="52"/>
  <c r="AH40" i="52"/>
  <c r="AF16" i="52"/>
  <c r="AH16" i="52" s="1"/>
  <c r="C13" i="53" s="1"/>
  <c r="AE16" i="52"/>
  <c r="D38" i="70" l="1"/>
  <c r="D38" i="54"/>
  <c r="M42" i="67"/>
  <c r="M43" i="71" s="1"/>
  <c r="C10" i="67"/>
  <c r="O10" i="71" s="1"/>
  <c r="C11" i="67"/>
  <c r="C12" i="67"/>
  <c r="O12" i="71" s="1"/>
  <c r="C9" i="67"/>
  <c r="O9" i="71" s="1"/>
  <c r="C7" i="67"/>
  <c r="C6" i="67"/>
  <c r="C5" i="67"/>
  <c r="BP53" i="68" s="1"/>
  <c r="O7" i="67"/>
  <c r="P7" i="71" s="1"/>
  <c r="P7" i="67"/>
  <c r="J10" i="67"/>
  <c r="J11" i="67"/>
  <c r="L11" i="71" s="1"/>
  <c r="J12" i="67"/>
  <c r="L12" i="71" s="1"/>
  <c r="J9" i="67"/>
  <c r="L9" i="71" s="1"/>
  <c r="J7" i="67"/>
  <c r="L7" i="71" s="1"/>
  <c r="J6" i="67"/>
  <c r="L6" i="71" s="1"/>
  <c r="J5" i="67"/>
  <c r="J5" i="69" s="1"/>
  <c r="AA43" i="52"/>
  <c r="C42" i="71"/>
  <c r="R41" i="71"/>
  <c r="Q41" i="71"/>
  <c r="O41" i="71"/>
  <c r="M41" i="71"/>
  <c r="L41" i="71"/>
  <c r="K41" i="71"/>
  <c r="J41" i="71"/>
  <c r="I41" i="71"/>
  <c r="H41" i="71"/>
  <c r="F41" i="71"/>
  <c r="C41" i="71"/>
  <c r="R40" i="71"/>
  <c r="Q40" i="71"/>
  <c r="O40" i="71"/>
  <c r="M40" i="71"/>
  <c r="L40" i="71"/>
  <c r="K40" i="71"/>
  <c r="J40" i="71"/>
  <c r="I40" i="71"/>
  <c r="H40" i="71"/>
  <c r="F40" i="71"/>
  <c r="C40" i="71"/>
  <c r="R39" i="71"/>
  <c r="Q39" i="71"/>
  <c r="O39" i="71"/>
  <c r="M39" i="71"/>
  <c r="L39" i="71"/>
  <c r="K39" i="71"/>
  <c r="J39" i="71"/>
  <c r="I39" i="71"/>
  <c r="H39" i="71"/>
  <c r="F39" i="71"/>
  <c r="C39" i="71"/>
  <c r="R38" i="71"/>
  <c r="Q38" i="71"/>
  <c r="O38" i="71"/>
  <c r="M38" i="71"/>
  <c r="L38" i="71"/>
  <c r="K38" i="71"/>
  <c r="J38" i="71"/>
  <c r="I38" i="71"/>
  <c r="H38" i="71"/>
  <c r="F38" i="71"/>
  <c r="C38" i="71"/>
  <c r="R37" i="71"/>
  <c r="Q37" i="71"/>
  <c r="O37" i="71"/>
  <c r="M37" i="71"/>
  <c r="L37" i="71"/>
  <c r="K37" i="71"/>
  <c r="J37" i="71"/>
  <c r="I37" i="71"/>
  <c r="H37" i="71"/>
  <c r="F37" i="71"/>
  <c r="C37" i="71"/>
  <c r="R36" i="71"/>
  <c r="Q36" i="71"/>
  <c r="O36" i="71"/>
  <c r="M36" i="71"/>
  <c r="L36" i="71"/>
  <c r="K36" i="71"/>
  <c r="J36" i="71"/>
  <c r="I36" i="71"/>
  <c r="H36" i="71"/>
  <c r="F36" i="71"/>
  <c r="C36" i="71"/>
  <c r="R35" i="71"/>
  <c r="Q35" i="71"/>
  <c r="O35" i="71"/>
  <c r="M35" i="71"/>
  <c r="L35" i="71"/>
  <c r="K35" i="71"/>
  <c r="J35" i="71"/>
  <c r="I35" i="71"/>
  <c r="H35" i="71"/>
  <c r="F35" i="71"/>
  <c r="C35" i="71"/>
  <c r="R34" i="71"/>
  <c r="Q34" i="71"/>
  <c r="O34" i="71"/>
  <c r="M34" i="71"/>
  <c r="L34" i="71"/>
  <c r="K34" i="71"/>
  <c r="J34" i="71"/>
  <c r="I34" i="71"/>
  <c r="H34" i="71"/>
  <c r="F34" i="71"/>
  <c r="C34" i="71"/>
  <c r="R33" i="71"/>
  <c r="Q33" i="71"/>
  <c r="O33" i="71"/>
  <c r="M33" i="71"/>
  <c r="L33" i="71"/>
  <c r="K33" i="71"/>
  <c r="J33" i="71"/>
  <c r="I33" i="71"/>
  <c r="H33" i="71"/>
  <c r="F33" i="71"/>
  <c r="C33" i="71"/>
  <c r="R32" i="71"/>
  <c r="Q32" i="71"/>
  <c r="O32" i="71"/>
  <c r="M32" i="71"/>
  <c r="L32" i="71"/>
  <c r="K32" i="71"/>
  <c r="J32" i="71"/>
  <c r="I32" i="71"/>
  <c r="H32" i="71"/>
  <c r="F32" i="71"/>
  <c r="C32" i="71"/>
  <c r="R31" i="71"/>
  <c r="Q31" i="71"/>
  <c r="O31" i="71"/>
  <c r="M31" i="71"/>
  <c r="L31" i="71"/>
  <c r="K31" i="71"/>
  <c r="J31" i="71"/>
  <c r="I31" i="71"/>
  <c r="H31" i="71"/>
  <c r="F31" i="71"/>
  <c r="C31" i="71"/>
  <c r="R30" i="71"/>
  <c r="Q30" i="71"/>
  <c r="O30" i="71"/>
  <c r="M30" i="71"/>
  <c r="L30" i="71"/>
  <c r="K30" i="71"/>
  <c r="J30" i="71"/>
  <c r="I30" i="71"/>
  <c r="H30" i="71"/>
  <c r="F30" i="71"/>
  <c r="C30" i="71"/>
  <c r="R29" i="71"/>
  <c r="Q29" i="71"/>
  <c r="O29" i="71"/>
  <c r="M29" i="71"/>
  <c r="L29" i="71"/>
  <c r="K29" i="71"/>
  <c r="J29" i="71"/>
  <c r="I29" i="71"/>
  <c r="H29" i="71"/>
  <c r="F29" i="71"/>
  <c r="C29" i="71"/>
  <c r="R28" i="71"/>
  <c r="Q28" i="71"/>
  <c r="O28" i="71"/>
  <c r="M28" i="71"/>
  <c r="L28" i="71"/>
  <c r="K28" i="71"/>
  <c r="J28" i="71"/>
  <c r="I28" i="71"/>
  <c r="H28" i="71"/>
  <c r="F28" i="71"/>
  <c r="C28" i="71"/>
  <c r="R27" i="71"/>
  <c r="Q27" i="71"/>
  <c r="O27" i="71"/>
  <c r="M27" i="71"/>
  <c r="L27" i="71"/>
  <c r="K27" i="71"/>
  <c r="J27" i="71"/>
  <c r="I27" i="71"/>
  <c r="H27" i="71"/>
  <c r="F27" i="71"/>
  <c r="C27" i="71"/>
  <c r="R26" i="71"/>
  <c r="Q26" i="71"/>
  <c r="O26" i="71"/>
  <c r="M26" i="71"/>
  <c r="L26" i="71"/>
  <c r="K26" i="71"/>
  <c r="J26" i="71"/>
  <c r="I26" i="71"/>
  <c r="H26" i="71"/>
  <c r="F26" i="71"/>
  <c r="C26" i="71"/>
  <c r="R25" i="71"/>
  <c r="Q25" i="71"/>
  <c r="O25" i="71"/>
  <c r="M25" i="71"/>
  <c r="L25" i="71"/>
  <c r="K25" i="71"/>
  <c r="J25" i="71"/>
  <c r="I25" i="71"/>
  <c r="H25" i="71"/>
  <c r="F25" i="71"/>
  <c r="C25" i="71"/>
  <c r="R24" i="71"/>
  <c r="Q24" i="71"/>
  <c r="O24" i="71"/>
  <c r="M24" i="71"/>
  <c r="L24" i="71"/>
  <c r="K24" i="71"/>
  <c r="J24" i="71"/>
  <c r="I24" i="71"/>
  <c r="H24" i="71"/>
  <c r="F24" i="71"/>
  <c r="C24" i="71"/>
  <c r="R23" i="71"/>
  <c r="Q23" i="71"/>
  <c r="O23" i="71"/>
  <c r="M23" i="71"/>
  <c r="L23" i="71"/>
  <c r="K23" i="71"/>
  <c r="J23" i="71"/>
  <c r="I23" i="71"/>
  <c r="H23" i="71"/>
  <c r="F23" i="71"/>
  <c r="C23" i="71"/>
  <c r="R22" i="71"/>
  <c r="Q22" i="71"/>
  <c r="O22" i="71"/>
  <c r="M22" i="71"/>
  <c r="L22" i="71"/>
  <c r="K22" i="71"/>
  <c r="J22" i="71"/>
  <c r="I22" i="71"/>
  <c r="H22" i="71"/>
  <c r="F22" i="71"/>
  <c r="C22" i="71"/>
  <c r="R21" i="71"/>
  <c r="Q21" i="71"/>
  <c r="O21" i="71"/>
  <c r="M21" i="71"/>
  <c r="L21" i="71"/>
  <c r="K21" i="71"/>
  <c r="J21" i="71"/>
  <c r="I21" i="71"/>
  <c r="H21" i="71"/>
  <c r="F21" i="71"/>
  <c r="C21" i="71"/>
  <c r="R20" i="71"/>
  <c r="Q20" i="71"/>
  <c r="O20" i="71"/>
  <c r="M20" i="71"/>
  <c r="L20" i="71"/>
  <c r="K20" i="71"/>
  <c r="J20" i="71"/>
  <c r="I20" i="71"/>
  <c r="H20" i="71"/>
  <c r="F20" i="71"/>
  <c r="C20" i="71"/>
  <c r="R19" i="71"/>
  <c r="Q19" i="71"/>
  <c r="O19" i="71"/>
  <c r="M19" i="71"/>
  <c r="L19" i="71"/>
  <c r="K19" i="71"/>
  <c r="J19" i="71"/>
  <c r="I19" i="71"/>
  <c r="H19" i="71"/>
  <c r="F19" i="71"/>
  <c r="C19" i="71"/>
  <c r="R18" i="71"/>
  <c r="Q18" i="71"/>
  <c r="O18" i="71"/>
  <c r="M18" i="71"/>
  <c r="L18" i="71"/>
  <c r="K18" i="71"/>
  <c r="J18" i="71"/>
  <c r="I18" i="71"/>
  <c r="H18" i="71"/>
  <c r="F18" i="71"/>
  <c r="C18" i="71"/>
  <c r="R17" i="71"/>
  <c r="Q17" i="71"/>
  <c r="O17" i="71"/>
  <c r="M17" i="71"/>
  <c r="L17" i="71"/>
  <c r="K17" i="71"/>
  <c r="J17" i="71"/>
  <c r="I17" i="71"/>
  <c r="H17" i="71"/>
  <c r="F17" i="71"/>
  <c r="C17" i="71"/>
  <c r="L13" i="71"/>
  <c r="O11" i="71"/>
  <c r="L10" i="71"/>
  <c r="L8" i="71"/>
  <c r="P5" i="71"/>
  <c r="B40" i="71" s="1"/>
  <c r="L5" i="71"/>
  <c r="M3" i="71"/>
  <c r="K3" i="71"/>
  <c r="N36" i="70"/>
  <c r="M36" i="70"/>
  <c r="L36" i="70"/>
  <c r="K36" i="70"/>
  <c r="J36" i="70"/>
  <c r="H36" i="70"/>
  <c r="F36" i="70" s="1"/>
  <c r="G36" i="70"/>
  <c r="N35" i="70"/>
  <c r="M35" i="70"/>
  <c r="L35" i="70"/>
  <c r="K35" i="70"/>
  <c r="J35" i="70"/>
  <c r="H35" i="70"/>
  <c r="F35" i="70" s="1"/>
  <c r="G35" i="70"/>
  <c r="N34" i="70"/>
  <c r="M34" i="70"/>
  <c r="L34" i="70"/>
  <c r="K34" i="70"/>
  <c r="J34" i="70"/>
  <c r="H34" i="70"/>
  <c r="G34" i="70"/>
  <c r="N33" i="70"/>
  <c r="M33" i="70"/>
  <c r="L33" i="70"/>
  <c r="K33" i="70"/>
  <c r="J33" i="70"/>
  <c r="H33" i="70"/>
  <c r="F33" i="70" s="1"/>
  <c r="G33" i="70"/>
  <c r="D33" i="70"/>
  <c r="C33" i="70"/>
  <c r="N32" i="70"/>
  <c r="M32" i="70"/>
  <c r="L32" i="70"/>
  <c r="K32" i="70"/>
  <c r="J32" i="70"/>
  <c r="H32" i="70"/>
  <c r="D32" i="70" s="1"/>
  <c r="G32" i="70"/>
  <c r="N31" i="70"/>
  <c r="M31" i="70"/>
  <c r="L31" i="70"/>
  <c r="K31" i="70"/>
  <c r="J31" i="70"/>
  <c r="H31" i="70"/>
  <c r="G31" i="70"/>
  <c r="N30" i="70"/>
  <c r="M30" i="70"/>
  <c r="L30" i="70"/>
  <c r="K30" i="70"/>
  <c r="J30" i="70"/>
  <c r="H30" i="70"/>
  <c r="D30" i="70" s="1"/>
  <c r="G30" i="70"/>
  <c r="N29" i="70"/>
  <c r="M29" i="70"/>
  <c r="L29" i="70"/>
  <c r="K29" i="70"/>
  <c r="J29" i="70"/>
  <c r="H29" i="70"/>
  <c r="F29" i="70" s="1"/>
  <c r="G29" i="70"/>
  <c r="N28" i="70"/>
  <c r="M28" i="70"/>
  <c r="L28" i="70"/>
  <c r="K28" i="70"/>
  <c r="J28" i="70"/>
  <c r="H28" i="70"/>
  <c r="D28" i="70" s="1"/>
  <c r="G28" i="70"/>
  <c r="N27" i="70"/>
  <c r="M27" i="70"/>
  <c r="L27" i="70"/>
  <c r="K27" i="70"/>
  <c r="J27" i="70"/>
  <c r="H27" i="70"/>
  <c r="F27" i="70" s="1"/>
  <c r="G27" i="70"/>
  <c r="N26" i="70"/>
  <c r="M26" i="70"/>
  <c r="L26" i="70"/>
  <c r="K26" i="70"/>
  <c r="J26" i="70"/>
  <c r="H26" i="70"/>
  <c r="D26" i="70" s="1"/>
  <c r="G26" i="70"/>
  <c r="N25" i="70"/>
  <c r="M25" i="70"/>
  <c r="L25" i="70"/>
  <c r="K25" i="70"/>
  <c r="J25" i="70"/>
  <c r="H25" i="70"/>
  <c r="C25" i="70" s="1"/>
  <c r="G25" i="70"/>
  <c r="N24" i="70"/>
  <c r="M24" i="70"/>
  <c r="L24" i="70"/>
  <c r="K24" i="70"/>
  <c r="J24" i="70"/>
  <c r="H24" i="70"/>
  <c r="F24" i="70" s="1"/>
  <c r="G24" i="70"/>
  <c r="N23" i="70"/>
  <c r="M23" i="70"/>
  <c r="L23" i="70"/>
  <c r="K23" i="70"/>
  <c r="J23" i="70"/>
  <c r="H23" i="70"/>
  <c r="F23" i="70" s="1"/>
  <c r="G23" i="70"/>
  <c r="N22" i="70"/>
  <c r="M22" i="70"/>
  <c r="L22" i="70"/>
  <c r="K22" i="70"/>
  <c r="J22" i="70"/>
  <c r="H22" i="70"/>
  <c r="G22" i="70"/>
  <c r="N21" i="70"/>
  <c r="M21" i="70"/>
  <c r="L21" i="70"/>
  <c r="K21" i="70"/>
  <c r="J21" i="70"/>
  <c r="H21" i="70"/>
  <c r="F21" i="70" s="1"/>
  <c r="G21" i="70"/>
  <c r="N20" i="70"/>
  <c r="M20" i="70"/>
  <c r="L20" i="70"/>
  <c r="K20" i="70"/>
  <c r="J20" i="70"/>
  <c r="H20" i="70"/>
  <c r="F20" i="70" s="1"/>
  <c r="G20" i="70"/>
  <c r="N19" i="70"/>
  <c r="M19" i="70"/>
  <c r="L19" i="70"/>
  <c r="K19" i="70"/>
  <c r="J19" i="70"/>
  <c r="H19" i="70"/>
  <c r="F19" i="70" s="1"/>
  <c r="G19" i="70"/>
  <c r="N18" i="70"/>
  <c r="M18" i="70"/>
  <c r="L18" i="70"/>
  <c r="K18" i="70"/>
  <c r="J18" i="70"/>
  <c r="H18" i="70"/>
  <c r="G18" i="70"/>
  <c r="N17" i="70"/>
  <c r="M17" i="70"/>
  <c r="L17" i="70"/>
  <c r="K17" i="70"/>
  <c r="J17" i="70"/>
  <c r="H17" i="70"/>
  <c r="C17" i="70" s="1"/>
  <c r="G17" i="70"/>
  <c r="N16" i="70"/>
  <c r="M16" i="70"/>
  <c r="L16" i="70"/>
  <c r="K16" i="70"/>
  <c r="J16" i="70"/>
  <c r="H16" i="70"/>
  <c r="F16" i="70" s="1"/>
  <c r="G16" i="70"/>
  <c r="N15" i="70"/>
  <c r="M15" i="70"/>
  <c r="L15" i="70"/>
  <c r="K15" i="70"/>
  <c r="J15" i="70"/>
  <c r="H15" i="70"/>
  <c r="G15" i="70"/>
  <c r="N14" i="70"/>
  <c r="M14" i="70"/>
  <c r="L14" i="70"/>
  <c r="K14" i="70"/>
  <c r="J14" i="70"/>
  <c r="H14" i="70"/>
  <c r="D14" i="70" s="1"/>
  <c r="G14" i="70"/>
  <c r="N13" i="70"/>
  <c r="M13" i="70"/>
  <c r="L13" i="70"/>
  <c r="K13" i="70"/>
  <c r="J13" i="70"/>
  <c r="H13" i="70"/>
  <c r="C13" i="70" s="1"/>
  <c r="G13" i="70"/>
  <c r="N12" i="70"/>
  <c r="M12" i="70"/>
  <c r="L12" i="70"/>
  <c r="K12" i="70"/>
  <c r="J12" i="70"/>
  <c r="H12" i="70"/>
  <c r="E36" i="70" s="1"/>
  <c r="G12" i="70"/>
  <c r="F8" i="70"/>
  <c r="C41" i="69"/>
  <c r="Q40" i="69"/>
  <c r="P40" i="69"/>
  <c r="N40" i="69"/>
  <c r="M40" i="69"/>
  <c r="L40" i="69"/>
  <c r="K40" i="69"/>
  <c r="J40" i="69"/>
  <c r="I40" i="69"/>
  <c r="H40" i="69"/>
  <c r="F40" i="69"/>
  <c r="E40" i="69"/>
  <c r="C40" i="69"/>
  <c r="Q39" i="69"/>
  <c r="P39" i="69"/>
  <c r="N39" i="69"/>
  <c r="M39" i="69"/>
  <c r="L39" i="69"/>
  <c r="K39" i="69"/>
  <c r="J39" i="69"/>
  <c r="I39" i="69"/>
  <c r="H39" i="69"/>
  <c r="F39" i="69"/>
  <c r="C39" i="69"/>
  <c r="Q38" i="69"/>
  <c r="P38" i="69"/>
  <c r="N38" i="69"/>
  <c r="M38" i="69"/>
  <c r="L38" i="69"/>
  <c r="K38" i="69"/>
  <c r="J38" i="69"/>
  <c r="I38" i="69"/>
  <c r="H38" i="69"/>
  <c r="F38" i="69"/>
  <c r="C38" i="69"/>
  <c r="Q37" i="69"/>
  <c r="P37" i="69"/>
  <c r="N37" i="69"/>
  <c r="M37" i="69"/>
  <c r="L37" i="69"/>
  <c r="K37" i="69"/>
  <c r="J37" i="69"/>
  <c r="I37" i="69"/>
  <c r="H37" i="69"/>
  <c r="F37" i="69"/>
  <c r="C37" i="69"/>
  <c r="Q36" i="69"/>
  <c r="P36" i="69"/>
  <c r="N36" i="69"/>
  <c r="M36" i="69"/>
  <c r="L36" i="69"/>
  <c r="K36" i="69"/>
  <c r="J36" i="69"/>
  <c r="I36" i="69"/>
  <c r="H36" i="69"/>
  <c r="F36" i="69"/>
  <c r="C36" i="69"/>
  <c r="Q35" i="69"/>
  <c r="P35" i="69"/>
  <c r="N35" i="69"/>
  <c r="M35" i="69"/>
  <c r="L35" i="69"/>
  <c r="K35" i="69"/>
  <c r="J35" i="69"/>
  <c r="I35" i="69"/>
  <c r="H35" i="69"/>
  <c r="F35" i="69"/>
  <c r="C35" i="69"/>
  <c r="Q34" i="69"/>
  <c r="P34" i="69"/>
  <c r="N34" i="69"/>
  <c r="M34" i="69"/>
  <c r="L34" i="69"/>
  <c r="K34" i="69"/>
  <c r="J34" i="69"/>
  <c r="I34" i="69"/>
  <c r="H34" i="69"/>
  <c r="F34" i="69"/>
  <c r="C34" i="69"/>
  <c r="Q33" i="69"/>
  <c r="P33" i="69"/>
  <c r="N33" i="69"/>
  <c r="M33" i="69"/>
  <c r="L33" i="69"/>
  <c r="K33" i="69"/>
  <c r="J33" i="69"/>
  <c r="I33" i="69"/>
  <c r="H33" i="69"/>
  <c r="F33" i="69"/>
  <c r="C33" i="69"/>
  <c r="Q32" i="69"/>
  <c r="P32" i="69"/>
  <c r="N32" i="69"/>
  <c r="M32" i="69"/>
  <c r="L32" i="69"/>
  <c r="K32" i="69"/>
  <c r="J32" i="69"/>
  <c r="I32" i="69"/>
  <c r="H32" i="69"/>
  <c r="F32" i="69"/>
  <c r="C32" i="69"/>
  <c r="Q31" i="69"/>
  <c r="P31" i="69"/>
  <c r="N31" i="69"/>
  <c r="M31" i="69"/>
  <c r="L31" i="69"/>
  <c r="K31" i="69"/>
  <c r="J31" i="69"/>
  <c r="I31" i="69"/>
  <c r="H31" i="69"/>
  <c r="F31" i="69"/>
  <c r="C31" i="69"/>
  <c r="Q30" i="69"/>
  <c r="P30" i="69"/>
  <c r="N30" i="69"/>
  <c r="M30" i="69"/>
  <c r="L30" i="69"/>
  <c r="K30" i="69"/>
  <c r="J30" i="69"/>
  <c r="I30" i="69"/>
  <c r="H30" i="69"/>
  <c r="F30" i="69"/>
  <c r="C30" i="69"/>
  <c r="Q29" i="69"/>
  <c r="P29" i="69"/>
  <c r="N29" i="69"/>
  <c r="M29" i="69"/>
  <c r="L29" i="69"/>
  <c r="K29" i="69"/>
  <c r="J29" i="69"/>
  <c r="I29" i="69"/>
  <c r="H29" i="69"/>
  <c r="F29" i="69"/>
  <c r="C29" i="69"/>
  <c r="Q28" i="69"/>
  <c r="P28" i="69"/>
  <c r="N28" i="69"/>
  <c r="M28" i="69"/>
  <c r="L28" i="69"/>
  <c r="K28" i="69"/>
  <c r="J28" i="69"/>
  <c r="I28" i="69"/>
  <c r="H28" i="69"/>
  <c r="F28" i="69"/>
  <c r="C28" i="69"/>
  <c r="Q27" i="69"/>
  <c r="P27" i="69"/>
  <c r="N27" i="69"/>
  <c r="M27" i="69"/>
  <c r="L27" i="69"/>
  <c r="K27" i="69"/>
  <c r="J27" i="69"/>
  <c r="I27" i="69"/>
  <c r="H27" i="69"/>
  <c r="F27" i="69"/>
  <c r="C27" i="69"/>
  <c r="Q26" i="69"/>
  <c r="P26" i="69"/>
  <c r="N26" i="69"/>
  <c r="M26" i="69"/>
  <c r="L26" i="69"/>
  <c r="K26" i="69"/>
  <c r="J26" i="69"/>
  <c r="I26" i="69"/>
  <c r="H26" i="69"/>
  <c r="F26" i="69"/>
  <c r="C26" i="69"/>
  <c r="Q25" i="69"/>
  <c r="P25" i="69"/>
  <c r="N25" i="69"/>
  <c r="M25" i="69"/>
  <c r="L25" i="69"/>
  <c r="K25" i="69"/>
  <c r="J25" i="69"/>
  <c r="I25" i="69"/>
  <c r="H25" i="69"/>
  <c r="F25" i="69"/>
  <c r="C25" i="69"/>
  <c r="Q24" i="69"/>
  <c r="P24" i="69"/>
  <c r="N24" i="69"/>
  <c r="M24" i="69"/>
  <c r="L24" i="69"/>
  <c r="K24" i="69"/>
  <c r="J24" i="69"/>
  <c r="I24" i="69"/>
  <c r="H24" i="69"/>
  <c r="F24" i="69"/>
  <c r="C24" i="69"/>
  <c r="Q23" i="69"/>
  <c r="P23" i="69"/>
  <c r="N23" i="69"/>
  <c r="M23" i="69"/>
  <c r="L23" i="69"/>
  <c r="K23" i="69"/>
  <c r="J23" i="69"/>
  <c r="I23" i="69"/>
  <c r="H23" i="69"/>
  <c r="F23" i="69"/>
  <c r="C23" i="69"/>
  <c r="Q22" i="69"/>
  <c r="P22" i="69"/>
  <c r="N22" i="69"/>
  <c r="M22" i="69"/>
  <c r="L22" i="69"/>
  <c r="K22" i="69"/>
  <c r="J22" i="69"/>
  <c r="I22" i="69"/>
  <c r="H22" i="69"/>
  <c r="F22" i="69"/>
  <c r="C22" i="69"/>
  <c r="Q21" i="69"/>
  <c r="P21" i="69"/>
  <c r="N21" i="69"/>
  <c r="M21" i="69"/>
  <c r="L21" i="69"/>
  <c r="K21" i="69"/>
  <c r="J21" i="69"/>
  <c r="I21" i="69"/>
  <c r="H21" i="69"/>
  <c r="F21" i="69"/>
  <c r="C21" i="69"/>
  <c r="Q20" i="69"/>
  <c r="P20" i="69"/>
  <c r="N20" i="69"/>
  <c r="M20" i="69"/>
  <c r="L20" i="69"/>
  <c r="K20" i="69"/>
  <c r="J20" i="69"/>
  <c r="I20" i="69"/>
  <c r="H20" i="69"/>
  <c r="F20" i="69"/>
  <c r="C20" i="69"/>
  <c r="Q19" i="69"/>
  <c r="P19" i="69"/>
  <c r="N19" i="69"/>
  <c r="M19" i="69"/>
  <c r="L19" i="69"/>
  <c r="K19" i="69"/>
  <c r="J19" i="69"/>
  <c r="I19" i="69"/>
  <c r="H19" i="69"/>
  <c r="F19" i="69"/>
  <c r="C19" i="69"/>
  <c r="Q18" i="69"/>
  <c r="P18" i="69"/>
  <c r="N18" i="69"/>
  <c r="M18" i="69"/>
  <c r="L18" i="69"/>
  <c r="K18" i="69"/>
  <c r="J18" i="69"/>
  <c r="I18" i="69"/>
  <c r="H18" i="69"/>
  <c r="F18" i="69"/>
  <c r="C18" i="69"/>
  <c r="Q17" i="69"/>
  <c r="P17" i="69"/>
  <c r="N17" i="69"/>
  <c r="M17" i="69"/>
  <c r="L17" i="69"/>
  <c r="K17" i="69"/>
  <c r="J17" i="69"/>
  <c r="I17" i="69"/>
  <c r="H17" i="69"/>
  <c r="F17" i="69"/>
  <c r="C17" i="69"/>
  <c r="Q16" i="69"/>
  <c r="P16" i="69"/>
  <c r="N16" i="69"/>
  <c r="M16" i="69"/>
  <c r="L16" i="69"/>
  <c r="K16" i="69"/>
  <c r="J16" i="69"/>
  <c r="I16" i="69"/>
  <c r="H16" i="69"/>
  <c r="F16" i="69"/>
  <c r="C16" i="69"/>
  <c r="O5" i="69"/>
  <c r="B33" i="69" s="1"/>
  <c r="N3" i="69"/>
  <c r="BT61" i="68"/>
  <c r="BD61" i="68"/>
  <c r="AN61" i="68"/>
  <c r="X61" i="68"/>
  <c r="H61" i="68"/>
  <c r="BT60" i="68"/>
  <c r="BD60" i="68"/>
  <c r="AN60" i="68"/>
  <c r="X60" i="68"/>
  <c r="H60" i="68"/>
  <c r="BT59" i="68"/>
  <c r="BO59" i="68"/>
  <c r="BD59" i="68"/>
  <c r="AY59" i="68"/>
  <c r="AN59" i="68"/>
  <c r="AI59" i="68"/>
  <c r="X59" i="68"/>
  <c r="S59" i="68"/>
  <c r="H59" i="68"/>
  <c r="C59" i="68"/>
  <c r="BT58" i="68"/>
  <c r="BD58" i="68"/>
  <c r="AN58" i="68"/>
  <c r="X58" i="68"/>
  <c r="H58" i="68"/>
  <c r="BX57" i="68"/>
  <c r="BP57" i="68"/>
  <c r="BH57" i="68"/>
  <c r="AZ57" i="68"/>
  <c r="AR57" i="68"/>
  <c r="AJ57" i="68"/>
  <c r="AB57" i="68"/>
  <c r="T57" i="68"/>
  <c r="L57" i="68"/>
  <c r="D57" i="68"/>
  <c r="BT56" i="68"/>
  <c r="CA56" i="68" s="1"/>
  <c r="BR56" i="68"/>
  <c r="BP61" i="68" s="1"/>
  <c r="BW61" i="68" s="1"/>
  <c r="BP56" i="68"/>
  <c r="BW57" i="68" s="1"/>
  <c r="BO56" i="68"/>
  <c r="BD56" i="68"/>
  <c r="BK56" i="68" s="1"/>
  <c r="BB56" i="68"/>
  <c r="BI57" i="68" s="1"/>
  <c r="AZ56" i="68"/>
  <c r="BG57" i="68" s="1"/>
  <c r="AY56" i="68"/>
  <c r="AN56" i="68"/>
  <c r="AU56" i="68" s="1"/>
  <c r="AL56" i="68"/>
  <c r="AJ61" i="68" s="1"/>
  <c r="AQ61" i="68" s="1"/>
  <c r="AJ56" i="68"/>
  <c r="AQ57" i="68" s="1"/>
  <c r="AI56" i="68"/>
  <c r="AQ62" i="68" s="1"/>
  <c r="AS62" i="68" s="1"/>
  <c r="X56" i="68"/>
  <c r="AE56" i="68" s="1"/>
  <c r="V56" i="68"/>
  <c r="T56" i="68"/>
  <c r="AA57" i="68" s="1"/>
  <c r="S56" i="68"/>
  <c r="H56" i="68"/>
  <c r="O56" i="68" s="1"/>
  <c r="F56" i="68"/>
  <c r="D61" i="68" s="1"/>
  <c r="K61" i="68" s="1"/>
  <c r="D56" i="68"/>
  <c r="K57" i="68" s="1"/>
  <c r="C56" i="68"/>
  <c r="BT55" i="68"/>
  <c r="CA55" i="68" s="1"/>
  <c r="BP55" i="68"/>
  <c r="BW55" i="68" s="1"/>
  <c r="BD55" i="68"/>
  <c r="BK55" i="68" s="1"/>
  <c r="AZ55" i="68"/>
  <c r="BG55" i="68" s="1"/>
  <c r="AN55" i="68"/>
  <c r="AU55" i="68" s="1"/>
  <c r="AJ55" i="68"/>
  <c r="AQ55" i="68" s="1"/>
  <c r="X55" i="68"/>
  <c r="AE55" i="68" s="1"/>
  <c r="T55" i="68"/>
  <c r="AA55" i="68" s="1"/>
  <c r="H55" i="68"/>
  <c r="O55" i="68" s="1"/>
  <c r="D55" i="68"/>
  <c r="K55" i="68" s="1"/>
  <c r="AZ54" i="68"/>
  <c r="BT49" i="68"/>
  <c r="BD49" i="68"/>
  <c r="AN49" i="68"/>
  <c r="X49" i="68"/>
  <c r="H49" i="68"/>
  <c r="BT48" i="68"/>
  <c r="BD48" i="68"/>
  <c r="AN48" i="68"/>
  <c r="X48" i="68"/>
  <c r="H48" i="68"/>
  <c r="BT47" i="68"/>
  <c r="BO47" i="68"/>
  <c r="BD47" i="68"/>
  <c r="AY47" i="68"/>
  <c r="AN47" i="68"/>
  <c r="AI47" i="68"/>
  <c r="X47" i="68"/>
  <c r="S47" i="68"/>
  <c r="H47" i="68"/>
  <c r="C47" i="68"/>
  <c r="BT46" i="68"/>
  <c r="BD46" i="68"/>
  <c r="AN46" i="68"/>
  <c r="X46" i="68"/>
  <c r="H46" i="68"/>
  <c r="BX45" i="68"/>
  <c r="BP45" i="68"/>
  <c r="BH45" i="68"/>
  <c r="AZ45" i="68"/>
  <c r="AR45" i="68"/>
  <c r="AJ45" i="68"/>
  <c r="AB45" i="68"/>
  <c r="T45" i="68"/>
  <c r="L45" i="68"/>
  <c r="D45" i="68"/>
  <c r="BT44" i="68"/>
  <c r="CA44" i="68" s="1"/>
  <c r="BR44" i="68"/>
  <c r="BY45" i="68" s="1"/>
  <c r="BP44" i="68"/>
  <c r="BW45" i="68" s="1"/>
  <c r="BO44" i="68"/>
  <c r="BW50" i="68" s="1"/>
  <c r="BY50" i="68" s="1"/>
  <c r="BD44" i="68"/>
  <c r="BK44" i="68" s="1"/>
  <c r="BB44" i="68"/>
  <c r="AZ44" i="68"/>
  <c r="BG45" i="68" s="1"/>
  <c r="AY44" i="68"/>
  <c r="AZ50" i="68" s="1"/>
  <c r="AN44" i="68"/>
  <c r="AU44" i="68" s="1"/>
  <c r="AL44" i="68"/>
  <c r="AS45" i="68" s="1"/>
  <c r="AJ44" i="68"/>
  <c r="AQ45" i="68" s="1"/>
  <c r="AI44" i="68"/>
  <c r="AJ50" i="68" s="1"/>
  <c r="X44" i="68"/>
  <c r="AE44" i="68" s="1"/>
  <c r="V44" i="68"/>
  <c r="T49" i="68" s="1"/>
  <c r="AA49" i="68" s="1"/>
  <c r="T44" i="68"/>
  <c r="T50" i="68" s="1"/>
  <c r="S44" i="68"/>
  <c r="H44" i="68"/>
  <c r="O44" i="68" s="1"/>
  <c r="F44" i="68"/>
  <c r="M45" i="68" s="1"/>
  <c r="D44" i="68"/>
  <c r="K45" i="68" s="1"/>
  <c r="C44" i="68"/>
  <c r="K50" i="68" s="1"/>
  <c r="M50" i="68" s="1"/>
  <c r="BT43" i="68"/>
  <c r="CA43" i="68" s="1"/>
  <c r="BP43" i="68"/>
  <c r="BW43" i="68" s="1"/>
  <c r="BD43" i="68"/>
  <c r="BK43" i="68" s="1"/>
  <c r="AZ43" i="68"/>
  <c r="BG43" i="68" s="1"/>
  <c r="AN43" i="68"/>
  <c r="AU43" i="68" s="1"/>
  <c r="AJ43" i="68"/>
  <c r="AQ43" i="68" s="1"/>
  <c r="X43" i="68"/>
  <c r="AE43" i="68" s="1"/>
  <c r="T43" i="68"/>
  <c r="AA43" i="68" s="1"/>
  <c r="H43" i="68"/>
  <c r="O43" i="68" s="1"/>
  <c r="D43" i="68"/>
  <c r="K43" i="68" s="1"/>
  <c r="BT37" i="68"/>
  <c r="BD37" i="68"/>
  <c r="AN37" i="68"/>
  <c r="X37" i="68"/>
  <c r="H37" i="68"/>
  <c r="BT36" i="68"/>
  <c r="BD36" i="68"/>
  <c r="AN36" i="68"/>
  <c r="X36" i="68"/>
  <c r="H36" i="68"/>
  <c r="BT35" i="68"/>
  <c r="BO35" i="68"/>
  <c r="BD35" i="68"/>
  <c r="AY35" i="68"/>
  <c r="AN35" i="68"/>
  <c r="AI35" i="68"/>
  <c r="X35" i="68"/>
  <c r="S35" i="68"/>
  <c r="H35" i="68"/>
  <c r="C35" i="68"/>
  <c r="BT34" i="68"/>
  <c r="BD34" i="68"/>
  <c r="AZ34" i="68"/>
  <c r="AN34" i="68"/>
  <c r="X34" i="68"/>
  <c r="H34" i="68"/>
  <c r="BX33" i="68"/>
  <c r="BP33" i="68"/>
  <c r="BH33" i="68"/>
  <c r="AZ33" i="68"/>
  <c r="AR33" i="68"/>
  <c r="AJ33" i="68"/>
  <c r="AB33" i="68"/>
  <c r="T33" i="68"/>
  <c r="L33" i="68"/>
  <c r="D33" i="68"/>
  <c r="BT32" i="68"/>
  <c r="CA32" i="68" s="1"/>
  <c r="BR32" i="68"/>
  <c r="BP37" i="68" s="1"/>
  <c r="BW37" i="68" s="1"/>
  <c r="BP32" i="68"/>
  <c r="BW33" i="68" s="1"/>
  <c r="BO32" i="68"/>
  <c r="BD32" i="68"/>
  <c r="BK32" i="68" s="1"/>
  <c r="BB32" i="68"/>
  <c r="AZ37" i="68" s="1"/>
  <c r="BG37" i="68" s="1"/>
  <c r="AZ32" i="68"/>
  <c r="BG33" i="68" s="1"/>
  <c r="AY32" i="68"/>
  <c r="AN32" i="68"/>
  <c r="AU32" i="68" s="1"/>
  <c r="AL32" i="68"/>
  <c r="AJ32" i="68"/>
  <c r="AQ33" i="68" s="1"/>
  <c r="AI32" i="68"/>
  <c r="AQ38" i="68" s="1"/>
  <c r="X32" i="68"/>
  <c r="AE32" i="68" s="1"/>
  <c r="V32" i="68"/>
  <c r="T32" i="68"/>
  <c r="T38" i="68" s="1"/>
  <c r="S32" i="68"/>
  <c r="AA38" i="68" s="1"/>
  <c r="H32" i="68"/>
  <c r="O32" i="68" s="1"/>
  <c r="F32" i="68"/>
  <c r="M33" i="68" s="1"/>
  <c r="D32" i="68"/>
  <c r="K33" i="68" s="1"/>
  <c r="C32" i="68"/>
  <c r="D38" i="68" s="1"/>
  <c r="BT31" i="68"/>
  <c r="CA31" i="68" s="1"/>
  <c r="BP31" i="68"/>
  <c r="BW31" i="68" s="1"/>
  <c r="BD31" i="68"/>
  <c r="BK31" i="68" s="1"/>
  <c r="AZ31" i="68"/>
  <c r="BG31" i="68" s="1"/>
  <c r="AN31" i="68"/>
  <c r="AU31" i="68" s="1"/>
  <c r="AJ31" i="68"/>
  <c r="AQ31" i="68" s="1"/>
  <c r="X31" i="68"/>
  <c r="AE31" i="68" s="1"/>
  <c r="T31" i="68"/>
  <c r="AA31" i="68" s="1"/>
  <c r="H31" i="68"/>
  <c r="O31" i="68" s="1"/>
  <c r="D31" i="68"/>
  <c r="K31" i="68" s="1"/>
  <c r="BT25" i="68"/>
  <c r="BD25" i="68"/>
  <c r="AN25" i="68"/>
  <c r="X25" i="68"/>
  <c r="H25" i="68"/>
  <c r="BT24" i="68"/>
  <c r="BD24" i="68"/>
  <c r="AN24" i="68"/>
  <c r="X24" i="68"/>
  <c r="H24" i="68"/>
  <c r="BT23" i="68"/>
  <c r="BO23" i="68"/>
  <c r="BD23" i="68"/>
  <c r="AY23" i="68"/>
  <c r="AN23" i="68"/>
  <c r="AI23" i="68"/>
  <c r="X23" i="68"/>
  <c r="S23" i="68"/>
  <c r="H23" i="68"/>
  <c r="C23" i="68"/>
  <c r="BT22" i="68"/>
  <c r="BD22" i="68"/>
  <c r="AN22" i="68"/>
  <c r="X22" i="68"/>
  <c r="H22" i="68"/>
  <c r="BX21" i="68"/>
  <c r="BP21" i="68"/>
  <c r="BH21" i="68"/>
  <c r="AZ21" i="68"/>
  <c r="AR21" i="68"/>
  <c r="AJ21" i="68"/>
  <c r="AB21" i="68"/>
  <c r="T21" i="68"/>
  <c r="L21" i="68"/>
  <c r="D21" i="68"/>
  <c r="BT20" i="68"/>
  <c r="CA20" i="68" s="1"/>
  <c r="BR20" i="68"/>
  <c r="BP25" i="68" s="1"/>
  <c r="BW25" i="68" s="1"/>
  <c r="BP20" i="68"/>
  <c r="BW21" i="68" s="1"/>
  <c r="BO20" i="68"/>
  <c r="BD20" i="68"/>
  <c r="BK20" i="68" s="1"/>
  <c r="BB20" i="68"/>
  <c r="AZ25" i="68" s="1"/>
  <c r="BG25" i="68" s="1"/>
  <c r="AZ20" i="68"/>
  <c r="BG21" i="68" s="1"/>
  <c r="AY20" i="68"/>
  <c r="BG26" i="68" s="1"/>
  <c r="BI26" i="68" s="1"/>
  <c r="AN20" i="68"/>
  <c r="AU20" i="68" s="1"/>
  <c r="AL20" i="68"/>
  <c r="AJ25" i="68" s="1"/>
  <c r="AQ25" i="68" s="1"/>
  <c r="AJ20" i="68"/>
  <c r="AQ21" i="68" s="1"/>
  <c r="AI20" i="68"/>
  <c r="AQ26" i="68" s="1"/>
  <c r="AS26" i="68" s="1"/>
  <c r="X20" i="68"/>
  <c r="AE20" i="68" s="1"/>
  <c r="V20" i="68"/>
  <c r="AC21" i="68" s="1"/>
  <c r="T20" i="68"/>
  <c r="T26" i="68" s="1"/>
  <c r="S20" i="68"/>
  <c r="AA26" i="68" s="1"/>
  <c r="H20" i="68"/>
  <c r="O20" i="68" s="1"/>
  <c r="F20" i="68"/>
  <c r="D25" i="68" s="1"/>
  <c r="K25" i="68" s="1"/>
  <c r="D20" i="68"/>
  <c r="K21" i="68" s="1"/>
  <c r="C20" i="68"/>
  <c r="K26" i="68" s="1"/>
  <c r="M26" i="68" s="1"/>
  <c r="BT19" i="68"/>
  <c r="CA19" i="68" s="1"/>
  <c r="BP19" i="68"/>
  <c r="BW19" i="68" s="1"/>
  <c r="BD19" i="68"/>
  <c r="BK19" i="68" s="1"/>
  <c r="AZ19" i="68"/>
  <c r="BG19" i="68" s="1"/>
  <c r="AN19" i="68"/>
  <c r="AU19" i="68" s="1"/>
  <c r="AJ19" i="68"/>
  <c r="AQ19" i="68" s="1"/>
  <c r="X19" i="68"/>
  <c r="AE19" i="68" s="1"/>
  <c r="T19" i="68"/>
  <c r="AA19" i="68" s="1"/>
  <c r="H19" i="68"/>
  <c r="O19" i="68" s="1"/>
  <c r="D19" i="68"/>
  <c r="K19" i="68" s="1"/>
  <c r="BT13" i="68"/>
  <c r="BD13" i="68"/>
  <c r="AN13" i="68"/>
  <c r="X13" i="68"/>
  <c r="H13" i="68"/>
  <c r="BT12" i="68"/>
  <c r="BD12" i="68"/>
  <c r="AN12" i="68"/>
  <c r="X12" i="68"/>
  <c r="H12" i="68"/>
  <c r="BT11" i="68"/>
  <c r="BO11" i="68"/>
  <c r="BD11" i="68"/>
  <c r="AY11" i="68"/>
  <c r="AN11" i="68"/>
  <c r="AI11" i="68"/>
  <c r="X11" i="68"/>
  <c r="S11" i="68"/>
  <c r="H11" i="68"/>
  <c r="C11" i="68"/>
  <c r="BT10" i="68"/>
  <c r="BD10" i="68"/>
  <c r="AN10" i="68"/>
  <c r="X10" i="68"/>
  <c r="H10" i="68"/>
  <c r="BX9" i="68"/>
  <c r="BP9" i="68"/>
  <c r="BH9" i="68"/>
  <c r="AZ9" i="68"/>
  <c r="AR9" i="68"/>
  <c r="AJ9" i="68"/>
  <c r="AB9" i="68"/>
  <c r="T9" i="68"/>
  <c r="L9" i="68"/>
  <c r="D9" i="68"/>
  <c r="BT8" i="68"/>
  <c r="CA8" i="68" s="1"/>
  <c r="BR8" i="68"/>
  <c r="BP8" i="68"/>
  <c r="BW9" i="68" s="1"/>
  <c r="BO8" i="68"/>
  <c r="BW14" i="68" s="1"/>
  <c r="BY14" i="68" s="1"/>
  <c r="BD8" i="68"/>
  <c r="BK8" i="68" s="1"/>
  <c r="BB8" i="68"/>
  <c r="BI9" i="68" s="1"/>
  <c r="AZ8" i="68"/>
  <c r="BG9" i="68" s="1"/>
  <c r="AY8" i="68"/>
  <c r="BG14" i="68" s="1"/>
  <c r="BI14" i="68" s="1"/>
  <c r="AN8" i="68"/>
  <c r="AU8" i="68" s="1"/>
  <c r="AL8" i="68"/>
  <c r="AJ13" i="68" s="1"/>
  <c r="AQ13" i="68" s="1"/>
  <c r="AJ8" i="68"/>
  <c r="AQ9" i="68" s="1"/>
  <c r="AI8" i="68"/>
  <c r="X8" i="68"/>
  <c r="AE8" i="68" s="1"/>
  <c r="V8" i="68"/>
  <c r="T13" i="68" s="1"/>
  <c r="AA13" i="68" s="1"/>
  <c r="T8" i="68"/>
  <c r="AA9" i="68" s="1"/>
  <c r="S8" i="68"/>
  <c r="AA14" i="68" s="1"/>
  <c r="H8" i="68"/>
  <c r="O8" i="68" s="1"/>
  <c r="F8" i="68"/>
  <c r="D8" i="68"/>
  <c r="K9" i="68" s="1"/>
  <c r="C8" i="68"/>
  <c r="K14" i="68" s="1"/>
  <c r="BT7" i="68"/>
  <c r="CA7" i="68" s="1"/>
  <c r="BP7" i="68"/>
  <c r="BW7" i="68" s="1"/>
  <c r="BD7" i="68"/>
  <c r="BK7" i="68" s="1"/>
  <c r="AZ7" i="68"/>
  <c r="BG7" i="68" s="1"/>
  <c r="AN7" i="68"/>
  <c r="AU7" i="68" s="1"/>
  <c r="AJ7" i="68"/>
  <c r="AQ7" i="68" s="1"/>
  <c r="X7" i="68"/>
  <c r="AE7" i="68" s="1"/>
  <c r="T7" i="68"/>
  <c r="AA7" i="68" s="1"/>
  <c r="H7" i="68"/>
  <c r="O7" i="68" s="1"/>
  <c r="D7" i="68"/>
  <c r="K7" i="68" s="1"/>
  <c r="AJ6" i="68"/>
  <c r="C41" i="67"/>
  <c r="AV40" i="67"/>
  <c r="AR40" i="67"/>
  <c r="Z40" i="67"/>
  <c r="Y40" i="67"/>
  <c r="X40" i="67"/>
  <c r="W40" i="67"/>
  <c r="V40" i="67"/>
  <c r="S40" i="67"/>
  <c r="R40" i="67"/>
  <c r="T40" i="67" s="1"/>
  <c r="U40" i="67" s="1"/>
  <c r="O40" i="67"/>
  <c r="E40" i="67"/>
  <c r="B40" i="67"/>
  <c r="BT52" i="68" s="1"/>
  <c r="CA52" i="68" s="1"/>
  <c r="AV39" i="67"/>
  <c r="AR39" i="67"/>
  <c r="Z39" i="67"/>
  <c r="Y39" i="67"/>
  <c r="X39" i="67"/>
  <c r="W39" i="67"/>
  <c r="V39" i="67"/>
  <c r="S39" i="67"/>
  <c r="R39" i="67"/>
  <c r="T39" i="67" s="1"/>
  <c r="U39" i="67" s="1"/>
  <c r="O39" i="67"/>
  <c r="BP46" i="68" s="1"/>
  <c r="E39" i="67"/>
  <c r="B39" i="67"/>
  <c r="BT40" i="68" s="1"/>
  <c r="CA40" i="68" s="1"/>
  <c r="AV38" i="67"/>
  <c r="AR38" i="67"/>
  <c r="Z38" i="67"/>
  <c r="Y38" i="67"/>
  <c r="X38" i="67"/>
  <c r="W38" i="67"/>
  <c r="V38" i="67"/>
  <c r="S38" i="67"/>
  <c r="R38" i="67"/>
  <c r="T38" i="67" s="1"/>
  <c r="U38" i="67" s="1"/>
  <c r="O38" i="67"/>
  <c r="E38" i="67"/>
  <c r="B38" i="67"/>
  <c r="BT28" i="68" s="1"/>
  <c r="CA28" i="68" s="1"/>
  <c r="AV37" i="67"/>
  <c r="AR37" i="67"/>
  <c r="Z37" i="67"/>
  <c r="Y37" i="67"/>
  <c r="X37" i="67"/>
  <c r="W37" i="67"/>
  <c r="V37" i="67"/>
  <c r="S37" i="67"/>
  <c r="R37" i="67"/>
  <c r="T37" i="67" s="1"/>
  <c r="U37" i="67" s="1"/>
  <c r="O37" i="67"/>
  <c r="E37" i="67"/>
  <c r="B37" i="67"/>
  <c r="BT16" i="68" s="1"/>
  <c r="CA16" i="68" s="1"/>
  <c r="AV36" i="67"/>
  <c r="AR36" i="67"/>
  <c r="Z36" i="67"/>
  <c r="Y36" i="67"/>
  <c r="X36" i="67"/>
  <c r="W36" i="67"/>
  <c r="V36" i="67"/>
  <c r="S36" i="67"/>
  <c r="R36" i="67"/>
  <c r="T36" i="67" s="1"/>
  <c r="O36" i="67"/>
  <c r="E36" i="67"/>
  <c r="B36" i="67"/>
  <c r="BT4" i="68" s="1"/>
  <c r="CA4" i="68" s="1"/>
  <c r="AV35" i="67"/>
  <c r="AR35" i="67"/>
  <c r="Z35" i="67"/>
  <c r="Y35" i="67"/>
  <c r="X35" i="67"/>
  <c r="W35" i="67"/>
  <c r="V35" i="67"/>
  <c r="S35" i="67"/>
  <c r="R35" i="67"/>
  <c r="T35" i="67" s="1"/>
  <c r="U35" i="67" s="1"/>
  <c r="O35" i="67"/>
  <c r="E35" i="67"/>
  <c r="E36" i="71" s="1"/>
  <c r="B35" i="67"/>
  <c r="BD52" i="68" s="1"/>
  <c r="BK52" i="68" s="1"/>
  <c r="AV34" i="67"/>
  <c r="AR34" i="67"/>
  <c r="Z34" i="67"/>
  <c r="Y34" i="67"/>
  <c r="X34" i="67"/>
  <c r="W34" i="67"/>
  <c r="V34" i="67"/>
  <c r="S34" i="67"/>
  <c r="R34" i="67"/>
  <c r="T34" i="67" s="1"/>
  <c r="U34" i="67" s="1"/>
  <c r="O34" i="67"/>
  <c r="E34" i="67"/>
  <c r="B34" i="67"/>
  <c r="BD40" i="68" s="1"/>
  <c r="BK40" i="68" s="1"/>
  <c r="AV33" i="67"/>
  <c r="AR33" i="67"/>
  <c r="Z33" i="67"/>
  <c r="Y33" i="67"/>
  <c r="X33" i="67"/>
  <c r="W33" i="67"/>
  <c r="V33" i="67"/>
  <c r="S33" i="67"/>
  <c r="R33" i="67"/>
  <c r="T33" i="67" s="1"/>
  <c r="U33" i="67" s="1"/>
  <c r="O33" i="67"/>
  <c r="O33" i="69" s="1"/>
  <c r="E33" i="67"/>
  <c r="B33" i="67"/>
  <c r="BD28" i="68" s="1"/>
  <c r="BK28" i="68" s="1"/>
  <c r="AV32" i="67"/>
  <c r="AR32" i="67"/>
  <c r="Z32" i="67"/>
  <c r="Y32" i="67"/>
  <c r="X32" i="67"/>
  <c r="W32" i="67"/>
  <c r="V32" i="67"/>
  <c r="S32" i="67"/>
  <c r="R32" i="67"/>
  <c r="T32" i="67" s="1"/>
  <c r="U32" i="67" s="1"/>
  <c r="O32" i="67"/>
  <c r="E32" i="67"/>
  <c r="E32" i="69" s="1"/>
  <c r="B32" i="67"/>
  <c r="BD16" i="68" s="1"/>
  <c r="BK16" i="68" s="1"/>
  <c r="AV31" i="67"/>
  <c r="AR31" i="67"/>
  <c r="Z31" i="67"/>
  <c r="Y31" i="67"/>
  <c r="X31" i="67"/>
  <c r="W31" i="67"/>
  <c r="V31" i="67"/>
  <c r="S31" i="67"/>
  <c r="R31" i="67"/>
  <c r="T31" i="67" s="1"/>
  <c r="U31" i="67" s="1"/>
  <c r="O31" i="67"/>
  <c r="AZ10" i="68" s="1"/>
  <c r="E31" i="67"/>
  <c r="B31" i="67"/>
  <c r="BD4" i="68" s="1"/>
  <c r="BK4" i="68" s="1"/>
  <c r="AV30" i="67"/>
  <c r="AR30" i="67"/>
  <c r="Z30" i="67"/>
  <c r="Y30" i="67"/>
  <c r="X30" i="67"/>
  <c r="W30" i="67"/>
  <c r="V30" i="67"/>
  <c r="S30" i="67"/>
  <c r="R30" i="67"/>
  <c r="T30" i="67" s="1"/>
  <c r="U30" i="67" s="1"/>
  <c r="O30" i="67"/>
  <c r="O30" i="69" s="1"/>
  <c r="E30" i="67"/>
  <c r="B30" i="67"/>
  <c r="AN52" i="68" s="1"/>
  <c r="AU52" i="68" s="1"/>
  <c r="AV29" i="67"/>
  <c r="AR29" i="67"/>
  <c r="Z29" i="67"/>
  <c r="Y29" i="67"/>
  <c r="X29" i="67"/>
  <c r="W29" i="67"/>
  <c r="V29" i="67"/>
  <c r="S29" i="67"/>
  <c r="R29" i="67"/>
  <c r="T29" i="67" s="1"/>
  <c r="U29" i="67" s="1"/>
  <c r="O29" i="67"/>
  <c r="E29" i="67"/>
  <c r="B29" i="67"/>
  <c r="AN40" i="68" s="1"/>
  <c r="AU40" i="68" s="1"/>
  <c r="AV28" i="67"/>
  <c r="AR28" i="67"/>
  <c r="Z28" i="67"/>
  <c r="Y28" i="67"/>
  <c r="X28" i="67"/>
  <c r="W28" i="67"/>
  <c r="V28" i="67"/>
  <c r="S28" i="67"/>
  <c r="R28" i="67"/>
  <c r="T28" i="67" s="1"/>
  <c r="O28" i="67"/>
  <c r="E28" i="67"/>
  <c r="B28" i="67"/>
  <c r="AN28" i="68" s="1"/>
  <c r="AU28" i="68" s="1"/>
  <c r="AV27" i="67"/>
  <c r="AR27" i="67"/>
  <c r="Z27" i="67"/>
  <c r="Y27" i="67"/>
  <c r="X27" i="67"/>
  <c r="W27" i="67"/>
  <c r="V27" i="67"/>
  <c r="S27" i="67"/>
  <c r="R27" i="67"/>
  <c r="T27" i="67" s="1"/>
  <c r="U27" i="67" s="1"/>
  <c r="O27" i="67"/>
  <c r="AJ22" i="68" s="1"/>
  <c r="E27" i="67"/>
  <c r="B27" i="67"/>
  <c r="AN16" i="68" s="1"/>
  <c r="AU16" i="68" s="1"/>
  <c r="AV26" i="67"/>
  <c r="AR26" i="67"/>
  <c r="Z26" i="67"/>
  <c r="Y26" i="67"/>
  <c r="X26" i="67"/>
  <c r="W26" i="67"/>
  <c r="V26" i="67"/>
  <c r="S26" i="67"/>
  <c r="R26" i="67"/>
  <c r="T26" i="67" s="1"/>
  <c r="U26" i="67" s="1"/>
  <c r="O26" i="67"/>
  <c r="E26" i="67"/>
  <c r="B26" i="67"/>
  <c r="AN4" i="68" s="1"/>
  <c r="AU4" i="68" s="1"/>
  <c r="AV25" i="67"/>
  <c r="AR25" i="67"/>
  <c r="Z25" i="67"/>
  <c r="Y25" i="67"/>
  <c r="X25" i="67"/>
  <c r="W25" i="67"/>
  <c r="V25" i="67"/>
  <c r="S25" i="67"/>
  <c r="R25" i="67"/>
  <c r="T25" i="67" s="1"/>
  <c r="O25" i="67"/>
  <c r="O25" i="69" s="1"/>
  <c r="E25" i="67"/>
  <c r="B25" i="67"/>
  <c r="X52" i="68" s="1"/>
  <c r="AE52" i="68" s="1"/>
  <c r="AV24" i="67"/>
  <c r="AR24" i="67"/>
  <c r="Z24" i="67"/>
  <c r="Y24" i="67"/>
  <c r="X24" i="67"/>
  <c r="W24" i="67"/>
  <c r="V24" i="67"/>
  <c r="S24" i="67"/>
  <c r="R24" i="67"/>
  <c r="T24" i="67" s="1"/>
  <c r="U24" i="67" s="1"/>
  <c r="O24" i="67"/>
  <c r="E24" i="67"/>
  <c r="B24" i="67"/>
  <c r="X40" i="68" s="1"/>
  <c r="AE40" i="68" s="1"/>
  <c r="AV23" i="67"/>
  <c r="AR23" i="67"/>
  <c r="AL23" i="67"/>
  <c r="Z23" i="67"/>
  <c r="Y23" i="67"/>
  <c r="X23" i="67"/>
  <c r="W23" i="67"/>
  <c r="V23" i="67"/>
  <c r="S23" i="67"/>
  <c r="R23" i="67"/>
  <c r="T23" i="67" s="1"/>
  <c r="O23" i="67"/>
  <c r="T34" i="68" s="1"/>
  <c r="E23" i="67"/>
  <c r="B23" i="67"/>
  <c r="X28" i="68" s="1"/>
  <c r="AE28" i="68" s="1"/>
  <c r="AV22" i="67"/>
  <c r="AR22" i="67"/>
  <c r="Z22" i="67"/>
  <c r="Y22" i="67"/>
  <c r="X22" i="67"/>
  <c r="W22" i="67"/>
  <c r="V22" i="67"/>
  <c r="S22" i="67"/>
  <c r="R22" i="67"/>
  <c r="T22" i="67" s="1"/>
  <c r="O22" i="67"/>
  <c r="E22" i="67"/>
  <c r="B22" i="67"/>
  <c r="X16" i="68" s="1"/>
  <c r="AE16" i="68" s="1"/>
  <c r="AV21" i="67"/>
  <c r="AR21" i="67"/>
  <c r="AL21" i="67"/>
  <c r="Z21" i="67"/>
  <c r="Y21" i="67"/>
  <c r="X21" i="67"/>
  <c r="W21" i="67"/>
  <c r="V21" i="67"/>
  <c r="S21" i="67"/>
  <c r="R21" i="67"/>
  <c r="T21" i="67" s="1"/>
  <c r="O21" i="67"/>
  <c r="E21" i="67"/>
  <c r="B21" i="67"/>
  <c r="X4" i="68" s="1"/>
  <c r="AE4" i="68" s="1"/>
  <c r="AV20" i="67"/>
  <c r="AR20" i="67"/>
  <c r="Z20" i="67"/>
  <c r="Y20" i="67"/>
  <c r="X20" i="67"/>
  <c r="W20" i="67"/>
  <c r="V20" i="67"/>
  <c r="S20" i="67"/>
  <c r="R20" i="67"/>
  <c r="T20" i="67" s="1"/>
  <c r="O20" i="67"/>
  <c r="E20" i="67"/>
  <c r="B20" i="67"/>
  <c r="H52" i="68" s="1"/>
  <c r="O52" i="68" s="1"/>
  <c r="AV19" i="67"/>
  <c r="AR19" i="67"/>
  <c r="AL19" i="67"/>
  <c r="Z19" i="67"/>
  <c r="Y19" i="67"/>
  <c r="X19" i="67"/>
  <c r="W19" i="67"/>
  <c r="V19" i="67"/>
  <c r="S19" i="67"/>
  <c r="R19" i="67"/>
  <c r="T19" i="67" s="1"/>
  <c r="U19" i="67" s="1"/>
  <c r="O19" i="67"/>
  <c r="E19" i="67"/>
  <c r="B19" i="67"/>
  <c r="H40" i="68" s="1"/>
  <c r="O40" i="68" s="1"/>
  <c r="AV18" i="67"/>
  <c r="AR18" i="67"/>
  <c r="Z18" i="67"/>
  <c r="Y18" i="67"/>
  <c r="X18" i="67"/>
  <c r="W18" i="67"/>
  <c r="V18" i="67"/>
  <c r="S18" i="67"/>
  <c r="R18" i="67"/>
  <c r="T18" i="67" s="1"/>
  <c r="U18" i="67" s="1"/>
  <c r="O18" i="67"/>
  <c r="B18" i="67"/>
  <c r="H28" i="68" s="1"/>
  <c r="O28" i="68" s="1"/>
  <c r="AV17" i="67"/>
  <c r="AR17" i="67"/>
  <c r="AL17" i="67"/>
  <c r="Z17" i="67"/>
  <c r="Y17" i="67"/>
  <c r="X17" i="67"/>
  <c r="W17" i="67"/>
  <c r="V17" i="67"/>
  <c r="S17" i="67"/>
  <c r="R17" i="67"/>
  <c r="T17" i="67" s="1"/>
  <c r="U17" i="67" s="1"/>
  <c r="O17" i="67"/>
  <c r="E17" i="67"/>
  <c r="B17" i="67"/>
  <c r="H16" i="68" s="1"/>
  <c r="O16" i="68" s="1"/>
  <c r="AV16" i="67"/>
  <c r="AR16" i="67"/>
  <c r="Z16" i="67"/>
  <c r="Y16" i="67"/>
  <c r="X16" i="67"/>
  <c r="W16" i="67"/>
  <c r="V16" i="67"/>
  <c r="S16" i="67"/>
  <c r="R16" i="67"/>
  <c r="T16" i="67" s="1"/>
  <c r="U16" i="67" s="1"/>
  <c r="O16" i="67"/>
  <c r="E16" i="67"/>
  <c r="B16" i="67"/>
  <c r="H4" i="68" s="1"/>
  <c r="O4" i="68" s="1"/>
  <c r="AA10" i="67"/>
  <c r="T9" i="67"/>
  <c r="K3" i="67"/>
  <c r="AZ18" i="68" l="1"/>
  <c r="AA42" i="68"/>
  <c r="AQ6" i="68"/>
  <c r="BP30" i="68"/>
  <c r="BP42" i="68"/>
  <c r="D30" i="68"/>
  <c r="AQ18" i="68"/>
  <c r="AA30" i="68"/>
  <c r="D42" i="68"/>
  <c r="AQ54" i="68"/>
  <c r="C12" i="70"/>
  <c r="D13" i="70"/>
  <c r="F32" i="70"/>
  <c r="C35" i="70"/>
  <c r="D29" i="70"/>
  <c r="C32" i="70"/>
  <c r="T7" i="67"/>
  <c r="U20" i="67"/>
  <c r="U21" i="67"/>
  <c r="AA21" i="67" s="1"/>
  <c r="D6" i="68"/>
  <c r="BP6" i="68"/>
  <c r="K18" i="68"/>
  <c r="BW18" i="68"/>
  <c r="AJ30" i="68"/>
  <c r="AJ42" i="68"/>
  <c r="K54" i="68"/>
  <c r="BW54" i="68"/>
  <c r="O7" i="69"/>
  <c r="AR41" i="67"/>
  <c r="U22" i="67"/>
  <c r="K6" i="68"/>
  <c r="BW6" i="68"/>
  <c r="T18" i="68"/>
  <c r="BG30" i="68"/>
  <c r="AS38" i="68"/>
  <c r="BG42" i="68"/>
  <c r="T54" i="68"/>
  <c r="C20" i="70"/>
  <c r="C29" i="70"/>
  <c r="K41" i="68"/>
  <c r="T5" i="68"/>
  <c r="AZ5" i="68"/>
  <c r="AQ41" i="68"/>
  <c r="K53" i="68"/>
  <c r="AA17" i="68"/>
  <c r="AA29" i="68"/>
  <c r="BW41" i="68"/>
  <c r="AQ53" i="68"/>
  <c r="T5" i="67"/>
  <c r="BG17" i="68"/>
  <c r="BG29" i="68"/>
  <c r="BW53" i="68"/>
  <c r="AA5" i="68"/>
  <c r="BG5" i="68"/>
  <c r="D17" i="68"/>
  <c r="AJ17" i="68"/>
  <c r="BP17" i="68"/>
  <c r="D29" i="68"/>
  <c r="AJ29" i="68"/>
  <c r="BP29" i="68"/>
  <c r="T41" i="68"/>
  <c r="AZ41" i="68"/>
  <c r="T53" i="68"/>
  <c r="AZ53" i="68"/>
  <c r="AA20" i="67"/>
  <c r="AA39" i="67"/>
  <c r="AA40" i="67"/>
  <c r="D5" i="68"/>
  <c r="AJ5" i="68"/>
  <c r="BP5" i="68"/>
  <c r="K17" i="68"/>
  <c r="AQ17" i="68"/>
  <c r="BW17" i="68"/>
  <c r="K29" i="68"/>
  <c r="AQ29" i="68"/>
  <c r="BW29" i="68"/>
  <c r="AA41" i="68"/>
  <c r="BG41" i="68"/>
  <c r="AA53" i="68"/>
  <c r="BG53" i="68"/>
  <c r="K5" i="68"/>
  <c r="AQ5" i="68"/>
  <c r="BW5" i="68"/>
  <c r="T17" i="68"/>
  <c r="AZ17" i="68"/>
  <c r="T29" i="68"/>
  <c r="AZ29" i="68"/>
  <c r="D41" i="68"/>
  <c r="AJ41" i="68"/>
  <c r="BP41" i="68"/>
  <c r="D53" i="68"/>
  <c r="AJ53" i="68"/>
  <c r="AA19" i="67"/>
  <c r="BY33" i="68"/>
  <c r="T6" i="68"/>
  <c r="AZ6" i="68"/>
  <c r="AA18" i="68"/>
  <c r="BG18" i="68"/>
  <c r="K30" i="68"/>
  <c r="AQ30" i="68"/>
  <c r="BW30" i="68"/>
  <c r="K42" i="68"/>
  <c r="AQ42" i="68"/>
  <c r="BW42" i="68"/>
  <c r="AA54" i="68"/>
  <c r="BG54" i="68"/>
  <c r="D20" i="70"/>
  <c r="C23" i="70"/>
  <c r="D35" i="70"/>
  <c r="C36" i="70"/>
  <c r="AA6" i="68"/>
  <c r="BG6" i="68"/>
  <c r="D18" i="68"/>
  <c r="AJ18" i="68"/>
  <c r="BP18" i="68"/>
  <c r="T30" i="68"/>
  <c r="AZ30" i="68"/>
  <c r="T42" i="68"/>
  <c r="AZ42" i="68"/>
  <c r="D54" i="68"/>
  <c r="AJ54" i="68"/>
  <c r="BP54" i="68"/>
  <c r="M42" i="69"/>
  <c r="C16" i="70"/>
  <c r="D17" i="70"/>
  <c r="C21" i="70"/>
  <c r="D23" i="70"/>
  <c r="C24" i="70"/>
  <c r="Z37" i="68"/>
  <c r="D37" i="68"/>
  <c r="K37" i="68" s="1"/>
  <c r="E13" i="70"/>
  <c r="D21" i="70"/>
  <c r="C28" i="70"/>
  <c r="AA22" i="67"/>
  <c r="AZ13" i="68"/>
  <c r="BG13" i="68" s="1"/>
  <c r="BY21" i="68"/>
  <c r="AP25" i="68"/>
  <c r="F13" i="70"/>
  <c r="E22" i="70"/>
  <c r="F28" i="70"/>
  <c r="M21" i="68"/>
  <c r="BI21" i="68"/>
  <c r="AJ62" i="68"/>
  <c r="D25" i="70"/>
  <c r="AA32" i="67"/>
  <c r="AS21" i="68"/>
  <c r="T25" i="68"/>
  <c r="AA25" i="68" s="1"/>
  <c r="BY57" i="68"/>
  <c r="AZ61" i="68"/>
  <c r="BG61" i="68" s="1"/>
  <c r="T8" i="67"/>
  <c r="AA24" i="67"/>
  <c r="W41" i="67"/>
  <c r="AA35" i="67"/>
  <c r="AA37" i="67"/>
  <c r="AA17" i="67"/>
  <c r="T14" i="68"/>
  <c r="AP37" i="68"/>
  <c r="T62" i="68"/>
  <c r="X41" i="67"/>
  <c r="AA18" i="67"/>
  <c r="AA34" i="67"/>
  <c r="AA38" i="67"/>
  <c r="E30" i="70"/>
  <c r="E34" i="70"/>
  <c r="AJ49" i="68"/>
  <c r="AQ49" i="68" s="1"/>
  <c r="B17" i="69"/>
  <c r="D12" i="70"/>
  <c r="E17" i="70"/>
  <c r="E25" i="70"/>
  <c r="AA27" i="67"/>
  <c r="AA30" i="67"/>
  <c r="AA31" i="67"/>
  <c r="J13" i="68"/>
  <c r="BV13" i="68"/>
  <c r="AZ26" i="68"/>
  <c r="B25" i="69"/>
  <c r="F12" i="70"/>
  <c r="E14" i="70"/>
  <c r="D16" i="70"/>
  <c r="F17" i="70"/>
  <c r="E18" i="70"/>
  <c r="C19" i="70"/>
  <c r="D24" i="70"/>
  <c r="F25" i="70"/>
  <c r="E29" i="70"/>
  <c r="D36" i="70"/>
  <c r="J37" i="68"/>
  <c r="BI33" i="68"/>
  <c r="AP49" i="68"/>
  <c r="BF49" i="68"/>
  <c r="BG50" i="68"/>
  <c r="BI50" i="68" s="1"/>
  <c r="M57" i="68"/>
  <c r="D19" i="70"/>
  <c r="E21" i="70"/>
  <c r="E26" i="70"/>
  <c r="E33" i="70"/>
  <c r="B21" i="71"/>
  <c r="B29" i="71"/>
  <c r="B37" i="71"/>
  <c r="B19" i="71"/>
  <c r="B27" i="71"/>
  <c r="B35" i="71"/>
  <c r="B17" i="71"/>
  <c r="B25" i="71"/>
  <c r="B33" i="71"/>
  <c r="B41" i="71"/>
  <c r="B23" i="71"/>
  <c r="B31" i="71"/>
  <c r="B39" i="71"/>
  <c r="AA16" i="67"/>
  <c r="O17" i="69"/>
  <c r="P18" i="71"/>
  <c r="D22" i="68"/>
  <c r="E19" i="71"/>
  <c r="I14" i="70"/>
  <c r="E18" i="69"/>
  <c r="I16" i="70"/>
  <c r="E21" i="71"/>
  <c r="E20" i="69"/>
  <c r="AV41" i="67"/>
  <c r="P19" i="71"/>
  <c r="O18" i="69"/>
  <c r="D34" i="68"/>
  <c r="I15" i="70"/>
  <c r="E19" i="69"/>
  <c r="E20" i="71"/>
  <c r="I19" i="70"/>
  <c r="E23" i="69"/>
  <c r="E24" i="71"/>
  <c r="BY9" i="68"/>
  <c r="BP13" i="68"/>
  <c r="BW13" i="68" s="1"/>
  <c r="V41" i="67"/>
  <c r="Z41" i="67"/>
  <c r="O19" i="69"/>
  <c r="P20" i="71"/>
  <c r="D46" i="68"/>
  <c r="O21" i="69"/>
  <c r="P22" i="71"/>
  <c r="T10" i="68"/>
  <c r="AA26" i="67"/>
  <c r="O35" i="69"/>
  <c r="P36" i="71"/>
  <c r="AZ58" i="68"/>
  <c r="P41" i="71"/>
  <c r="BP58" i="68"/>
  <c r="O40" i="69"/>
  <c r="M14" i="68"/>
  <c r="AC14" i="68"/>
  <c r="AJ14" i="68"/>
  <c r="AP13" i="68"/>
  <c r="AQ14" i="68"/>
  <c r="AS14" i="68" s="1"/>
  <c r="AC33" i="68"/>
  <c r="T37" i="68"/>
  <c r="AA37" i="68" s="1"/>
  <c r="AJ37" i="68"/>
  <c r="AQ37" i="68" s="1"/>
  <c r="AS33" i="68"/>
  <c r="BV37" i="68"/>
  <c r="BW38" i="68"/>
  <c r="BY38" i="68" s="1"/>
  <c r="AZ62" i="68"/>
  <c r="BG62" i="68"/>
  <c r="BI62" i="68" s="1"/>
  <c r="BF61" i="68"/>
  <c r="I12" i="70"/>
  <c r="E17" i="71"/>
  <c r="E16" i="69"/>
  <c r="P17" i="71"/>
  <c r="O16" i="69"/>
  <c r="D10" i="68"/>
  <c r="Y41" i="67"/>
  <c r="P21" i="71"/>
  <c r="O20" i="69"/>
  <c r="D58" i="68"/>
  <c r="E21" i="69"/>
  <c r="E22" i="71"/>
  <c r="I17" i="70"/>
  <c r="P23" i="71"/>
  <c r="O22" i="69"/>
  <c r="T22" i="68"/>
  <c r="I20" i="70"/>
  <c r="E25" i="71"/>
  <c r="E24" i="69"/>
  <c r="E39" i="71"/>
  <c r="E38" i="69"/>
  <c r="I34" i="70"/>
  <c r="E17" i="69"/>
  <c r="E18" i="71"/>
  <c r="I13" i="70"/>
  <c r="U23" i="67"/>
  <c r="AA23" i="67" s="1"/>
  <c r="U25" i="67"/>
  <c r="AA25" i="67" s="1"/>
  <c r="E29" i="69"/>
  <c r="I25" i="70"/>
  <c r="E30" i="71"/>
  <c r="AA29" i="67"/>
  <c r="AA33" i="67"/>
  <c r="E37" i="69"/>
  <c r="E38" i="71"/>
  <c r="I33" i="70"/>
  <c r="O39" i="69"/>
  <c r="P40" i="71"/>
  <c r="D26" i="68"/>
  <c r="J25" i="68"/>
  <c r="E23" i="71"/>
  <c r="E22" i="69"/>
  <c r="I18" i="70"/>
  <c r="U28" i="67"/>
  <c r="AA28" i="67" s="1"/>
  <c r="P33" i="71"/>
  <c r="O32" i="69"/>
  <c r="AZ22" i="68"/>
  <c r="E35" i="71"/>
  <c r="I30" i="70"/>
  <c r="E34" i="69"/>
  <c r="U36" i="67"/>
  <c r="AA36" i="67" s="1"/>
  <c r="M9" i="68"/>
  <c r="D13" i="68"/>
  <c r="K13" i="68" s="1"/>
  <c r="BP26" i="68"/>
  <c r="BV25" i="68"/>
  <c r="BW26" i="68"/>
  <c r="BY26" i="68" s="1"/>
  <c r="BP38" i="68"/>
  <c r="BI45" i="68"/>
  <c r="AZ49" i="68"/>
  <c r="BG49" i="68" s="1"/>
  <c r="P25" i="71"/>
  <c r="T46" i="68"/>
  <c r="O24" i="69"/>
  <c r="E25" i="69"/>
  <c r="E26" i="71"/>
  <c r="I21" i="70"/>
  <c r="I23" i="70"/>
  <c r="E27" i="69"/>
  <c r="I24" i="70"/>
  <c r="E29" i="71"/>
  <c r="E28" i="69"/>
  <c r="O29" i="69"/>
  <c r="P30" i="71"/>
  <c r="I27" i="70"/>
  <c r="E31" i="69"/>
  <c r="E32" i="71"/>
  <c r="P35" i="71"/>
  <c r="O34" i="69"/>
  <c r="AZ46" i="68"/>
  <c r="I32" i="70"/>
  <c r="E37" i="71"/>
  <c r="E36" i="69"/>
  <c r="O37" i="69"/>
  <c r="P38" i="71"/>
  <c r="P39" i="71"/>
  <c r="BP34" i="68"/>
  <c r="Z13" i="68"/>
  <c r="D14" i="68"/>
  <c r="BP14" i="68"/>
  <c r="BP22" i="68"/>
  <c r="BF25" i="68"/>
  <c r="AJ26" i="68"/>
  <c r="K38" i="68"/>
  <c r="M38" i="68" s="1"/>
  <c r="AA50" i="68"/>
  <c r="AC50" i="68" s="1"/>
  <c r="Z49" i="68"/>
  <c r="AJ46" i="68"/>
  <c r="BV49" i="68"/>
  <c r="T61" i="68"/>
  <c r="AA61" i="68" s="1"/>
  <c r="AC57" i="68"/>
  <c r="O38" i="69"/>
  <c r="F15" i="70"/>
  <c r="D15" i="70"/>
  <c r="C15" i="70"/>
  <c r="P34" i="71"/>
  <c r="O23" i="69"/>
  <c r="P24" i="71"/>
  <c r="E27" i="71"/>
  <c r="I22" i="70"/>
  <c r="E26" i="69"/>
  <c r="O27" i="69"/>
  <c r="P28" i="71"/>
  <c r="P29" i="71"/>
  <c r="O28" i="69"/>
  <c r="AJ34" i="68"/>
  <c r="E31" i="71"/>
  <c r="E30" i="69"/>
  <c r="O31" i="69"/>
  <c r="P32" i="71"/>
  <c r="E33" i="69"/>
  <c r="E34" i="71"/>
  <c r="I29" i="70"/>
  <c r="P37" i="71"/>
  <c r="O36" i="69"/>
  <c r="AC9" i="68"/>
  <c r="AS9" i="68"/>
  <c r="AZ14" i="68"/>
  <c r="AA21" i="68"/>
  <c r="AC38" i="68"/>
  <c r="C22" i="70"/>
  <c r="F22" i="70"/>
  <c r="D22" i="70"/>
  <c r="H37" i="70"/>
  <c r="P27" i="71"/>
  <c r="O26" i="69"/>
  <c r="P31" i="71"/>
  <c r="AJ58" i="68"/>
  <c r="I28" i="70"/>
  <c r="E33" i="71"/>
  <c r="I31" i="70"/>
  <c r="E35" i="69"/>
  <c r="I35" i="70"/>
  <c r="E39" i="69"/>
  <c r="E40" i="71"/>
  <c r="I36" i="70"/>
  <c r="E41" i="71"/>
  <c r="AJ10" i="68"/>
  <c r="BP10" i="68"/>
  <c r="BF13" i="68"/>
  <c r="Z25" i="68"/>
  <c r="BG38" i="68"/>
  <c r="BI38" i="68" s="1"/>
  <c r="BF37" i="68"/>
  <c r="AZ38" i="68"/>
  <c r="J49" i="68"/>
  <c r="T58" i="68"/>
  <c r="I26" i="70"/>
  <c r="F31" i="70"/>
  <c r="D31" i="70"/>
  <c r="C31" i="70"/>
  <c r="P26" i="71"/>
  <c r="E28" i="71"/>
  <c r="AA45" i="68"/>
  <c r="AQ50" i="68"/>
  <c r="AS50" i="68" s="1"/>
  <c r="K62" i="68"/>
  <c r="M62" i="68" s="1"/>
  <c r="D62" i="68"/>
  <c r="BW62" i="68"/>
  <c r="BY62" i="68" s="1"/>
  <c r="BP62" i="68"/>
  <c r="AS57" i="68"/>
  <c r="E43" i="69"/>
  <c r="B40" i="69"/>
  <c r="B38" i="69"/>
  <c r="B36" i="69"/>
  <c r="B34" i="69"/>
  <c r="B32" i="69"/>
  <c r="B30" i="69"/>
  <c r="B28" i="69"/>
  <c r="B26" i="69"/>
  <c r="B24" i="69"/>
  <c r="B22" i="69"/>
  <c r="B20" i="69"/>
  <c r="B18" i="69"/>
  <c r="B16" i="69"/>
  <c r="B19" i="69"/>
  <c r="B27" i="69"/>
  <c r="B35" i="69"/>
  <c r="C18" i="70"/>
  <c r="F18" i="70"/>
  <c r="C34" i="70"/>
  <c r="F34" i="70"/>
  <c r="AJ38" i="68"/>
  <c r="D49" i="68"/>
  <c r="K49" i="68" s="1"/>
  <c r="BP49" i="68"/>
  <c r="BW49" i="68" s="1"/>
  <c r="D50" i="68"/>
  <c r="BP50" i="68"/>
  <c r="AA62" i="68"/>
  <c r="AC62" i="68" s="1"/>
  <c r="Z61" i="68"/>
  <c r="B21" i="69"/>
  <c r="B29" i="69"/>
  <c r="B37" i="69"/>
  <c r="C14" i="70"/>
  <c r="F14" i="70"/>
  <c r="D18" i="70"/>
  <c r="C27" i="70"/>
  <c r="C30" i="70"/>
  <c r="F30" i="70"/>
  <c r="D34" i="70"/>
  <c r="AA33" i="68"/>
  <c r="AC45" i="68"/>
  <c r="AP61" i="68"/>
  <c r="J61" i="68"/>
  <c r="BV61" i="68"/>
  <c r="B23" i="69"/>
  <c r="B31" i="69"/>
  <c r="B39" i="69"/>
  <c r="C26" i="70"/>
  <c r="F26" i="70"/>
  <c r="D27" i="70"/>
  <c r="E15" i="70"/>
  <c r="E19" i="70"/>
  <c r="E23" i="70"/>
  <c r="E27" i="70"/>
  <c r="E31" i="70"/>
  <c r="E35" i="70"/>
  <c r="B18" i="71"/>
  <c r="B20" i="71"/>
  <c r="B22" i="71"/>
  <c r="B24" i="71"/>
  <c r="B26" i="71"/>
  <c r="B28" i="71"/>
  <c r="B30" i="71"/>
  <c r="B32" i="71"/>
  <c r="B34" i="71"/>
  <c r="B36" i="71"/>
  <c r="B38" i="71"/>
  <c r="E12" i="70"/>
  <c r="E16" i="70"/>
  <c r="E20" i="70"/>
  <c r="E24" i="70"/>
  <c r="E28" i="70"/>
  <c r="E32" i="70"/>
  <c r="C39" i="56"/>
  <c r="Y17" i="52"/>
  <c r="Y18" i="52"/>
  <c r="Y19" i="52"/>
  <c r="Y20" i="52"/>
  <c r="Y21" i="52"/>
  <c r="Y22" i="52"/>
  <c r="Y23" i="52"/>
  <c r="Y24" i="52"/>
  <c r="Y25" i="52"/>
  <c r="Y26" i="52"/>
  <c r="Y27" i="52"/>
  <c r="Y28" i="52"/>
  <c r="Y29" i="52"/>
  <c r="Y30" i="52"/>
  <c r="Y31" i="52"/>
  <c r="Y32" i="52"/>
  <c r="Y33" i="52"/>
  <c r="Y34" i="52"/>
  <c r="Y35" i="52"/>
  <c r="Y36" i="52"/>
  <c r="Y37" i="52"/>
  <c r="Y38" i="52"/>
  <c r="Y39" i="52"/>
  <c r="Y40" i="52"/>
  <c r="Y16" i="52"/>
  <c r="U41" i="67" l="1"/>
  <c r="AA41" i="67" s="1"/>
  <c r="AA42" i="52" s="1"/>
  <c r="AC26" i="68"/>
  <c r="L13" i="59" l="1"/>
  <c r="K3" i="59"/>
  <c r="O12" i="59"/>
  <c r="O11" i="59"/>
  <c r="O10" i="59"/>
  <c r="O9" i="59"/>
  <c r="I13" i="54"/>
  <c r="E18" i="52"/>
  <c r="E19" i="52"/>
  <c r="E20" i="52"/>
  <c r="E21" i="52"/>
  <c r="E22" i="52"/>
  <c r="E23" i="52"/>
  <c r="E24" i="52"/>
  <c r="I20" i="54" s="1"/>
  <c r="E25" i="52"/>
  <c r="I21" i="54" s="1"/>
  <c r="E26" i="52"/>
  <c r="I22" i="54" s="1"/>
  <c r="E27" i="52"/>
  <c r="I23" i="54" s="1"/>
  <c r="E28" i="52"/>
  <c r="I24" i="54" s="1"/>
  <c r="E29" i="52"/>
  <c r="I25" i="54" s="1"/>
  <c r="I26" i="54"/>
  <c r="E31" i="52"/>
  <c r="I27" i="54" s="1"/>
  <c r="E32" i="52"/>
  <c r="I28" i="54" s="1"/>
  <c r="E33" i="52"/>
  <c r="I29" i="54" s="1"/>
  <c r="E34" i="52"/>
  <c r="I30" i="54" s="1"/>
  <c r="E35" i="52"/>
  <c r="I31" i="54" s="1"/>
  <c r="E36" i="52"/>
  <c r="I32" i="54" s="1"/>
  <c r="E37" i="52"/>
  <c r="I33" i="54" s="1"/>
  <c r="E38" i="52"/>
  <c r="I34" i="54" s="1"/>
  <c r="E39" i="52"/>
  <c r="I35" i="54" s="1"/>
  <c r="E40" i="52"/>
  <c r="I36" i="54" s="1"/>
  <c r="I12" i="54"/>
  <c r="J13" i="54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32" i="54"/>
  <c r="J33" i="54"/>
  <c r="J34" i="54"/>
  <c r="J35" i="54"/>
  <c r="J36" i="54"/>
  <c r="J12" i="54"/>
  <c r="I19" i="54" l="1"/>
  <c r="AH23" i="52"/>
  <c r="S37" i="53" s="1"/>
  <c r="I18" i="54"/>
  <c r="AH22" i="52"/>
  <c r="S25" i="53" s="1"/>
  <c r="I17" i="54"/>
  <c r="AH21" i="52"/>
  <c r="S13" i="53" s="1"/>
  <c r="I16" i="54"/>
  <c r="AH20" i="52"/>
  <c r="C61" i="53" s="1"/>
  <c r="I15" i="54"/>
  <c r="AH19" i="52"/>
  <c r="C49" i="53" s="1"/>
  <c r="I14" i="54"/>
  <c r="AH18" i="52"/>
  <c r="C37" i="53" s="1"/>
  <c r="AA10" i="52"/>
  <c r="U53" i="21"/>
  <c r="L52" i="21"/>
  <c r="U49" i="21"/>
  <c r="L48" i="21"/>
  <c r="U45" i="21"/>
  <c r="L44" i="21"/>
  <c r="U41" i="21"/>
  <c r="L40" i="21"/>
  <c r="U37" i="21"/>
  <c r="L36" i="21"/>
  <c r="U33" i="21"/>
  <c r="L32" i="21"/>
  <c r="U31" i="21"/>
  <c r="X80" i="21"/>
  <c r="X79" i="21"/>
  <c r="X78" i="21"/>
  <c r="X77" i="21"/>
  <c r="X76" i="21"/>
  <c r="X75" i="21"/>
  <c r="X74" i="21"/>
  <c r="X73" i="21"/>
  <c r="X72" i="21"/>
  <c r="X71" i="21"/>
  <c r="X70" i="21"/>
  <c r="X69" i="21"/>
  <c r="X68" i="21"/>
  <c r="X67" i="21"/>
  <c r="X66" i="21"/>
  <c r="X65" i="21"/>
  <c r="X64" i="21"/>
  <c r="X63" i="21"/>
  <c r="X62" i="21"/>
  <c r="X61" i="21"/>
  <c r="X60" i="21"/>
  <c r="X59" i="21"/>
  <c r="X58" i="21"/>
  <c r="X57" i="21"/>
  <c r="X56" i="21"/>
  <c r="X55" i="21"/>
  <c r="X54" i="21"/>
  <c r="X53" i="21"/>
  <c r="X52" i="21"/>
  <c r="X51" i="21"/>
  <c r="X50" i="21"/>
  <c r="X49" i="21"/>
  <c r="X48" i="21"/>
  <c r="X47" i="21"/>
  <c r="X46" i="21"/>
  <c r="X45" i="21"/>
  <c r="X44" i="21"/>
  <c r="X43" i="21"/>
  <c r="X42" i="21"/>
  <c r="X41" i="21"/>
  <c r="X40" i="21"/>
  <c r="X39" i="21"/>
  <c r="X38" i="21"/>
  <c r="X37" i="21"/>
  <c r="X36" i="21"/>
  <c r="X35" i="21"/>
  <c r="X34" i="21"/>
  <c r="X33" i="21"/>
  <c r="X32" i="21"/>
  <c r="X31" i="21"/>
  <c r="W57" i="21"/>
  <c r="W58" i="21"/>
  <c r="W59" i="21"/>
  <c r="W60" i="21"/>
  <c r="W61" i="21"/>
  <c r="W62" i="21"/>
  <c r="W63" i="21"/>
  <c r="W64" i="21"/>
  <c r="W65" i="21"/>
  <c r="W66" i="21"/>
  <c r="W67" i="21"/>
  <c r="W68" i="21"/>
  <c r="W69" i="21"/>
  <c r="W70" i="21"/>
  <c r="W71" i="21"/>
  <c r="W72" i="21"/>
  <c r="W73" i="21"/>
  <c r="W74" i="21"/>
  <c r="W75" i="21"/>
  <c r="W76" i="21"/>
  <c r="W77" i="21"/>
  <c r="W78" i="21"/>
  <c r="W79" i="21"/>
  <c r="W80" i="21"/>
  <c r="W56" i="21"/>
  <c r="W33" i="21"/>
  <c r="W34" i="21"/>
  <c r="W35" i="21"/>
  <c r="W36" i="21"/>
  <c r="W37" i="21"/>
  <c r="W38" i="21"/>
  <c r="W39" i="21"/>
  <c r="W40" i="21"/>
  <c r="W41" i="21"/>
  <c r="W42" i="21"/>
  <c r="W43" i="21"/>
  <c r="W44" i="21"/>
  <c r="W45" i="21"/>
  <c r="W46" i="21"/>
  <c r="W47" i="21"/>
  <c r="W48" i="21"/>
  <c r="W49" i="21"/>
  <c r="W50" i="21"/>
  <c r="W51" i="21"/>
  <c r="W52" i="21"/>
  <c r="W53" i="21"/>
  <c r="W54" i="21"/>
  <c r="W55" i="21"/>
  <c r="W32" i="21"/>
  <c r="W31" i="21"/>
  <c r="V80" i="21"/>
  <c r="V79" i="21"/>
  <c r="V78" i="21"/>
  <c r="V77" i="21"/>
  <c r="V76" i="21"/>
  <c r="V75" i="21"/>
  <c r="V74" i="21"/>
  <c r="V73" i="21"/>
  <c r="V72" i="21"/>
  <c r="V71" i="21"/>
  <c r="V70" i="21"/>
  <c r="V69" i="21"/>
  <c r="V68" i="21"/>
  <c r="V67" i="21"/>
  <c r="V66" i="21"/>
  <c r="V65" i="21"/>
  <c r="V64" i="21"/>
  <c r="V63" i="21"/>
  <c r="V62" i="21"/>
  <c r="V61" i="21"/>
  <c r="V60" i="21"/>
  <c r="V59" i="21"/>
  <c r="V58" i="21"/>
  <c r="V57" i="21"/>
  <c r="V56" i="21"/>
  <c r="V55" i="21"/>
  <c r="V54" i="21"/>
  <c r="V53" i="21"/>
  <c r="V52" i="21"/>
  <c r="V51" i="21"/>
  <c r="V50" i="21"/>
  <c r="V49" i="21"/>
  <c r="V48" i="21"/>
  <c r="V47" i="21"/>
  <c r="V46" i="21"/>
  <c r="V45" i="21"/>
  <c r="V44" i="21"/>
  <c r="V43" i="21"/>
  <c r="V42" i="21"/>
  <c r="V41" i="21"/>
  <c r="V40" i="21"/>
  <c r="V39" i="21"/>
  <c r="V38" i="21"/>
  <c r="V37" i="21"/>
  <c r="V36" i="21"/>
  <c r="V35" i="21"/>
  <c r="V34" i="21"/>
  <c r="V33" i="21"/>
  <c r="V32" i="21"/>
  <c r="V31" i="21"/>
  <c r="U58" i="21"/>
  <c r="U59" i="21"/>
  <c r="U60" i="21"/>
  <c r="U61" i="21"/>
  <c r="U62" i="21"/>
  <c r="U63" i="21"/>
  <c r="U64" i="21"/>
  <c r="U65" i="21"/>
  <c r="U66" i="21"/>
  <c r="U67" i="21"/>
  <c r="U68" i="21"/>
  <c r="U69" i="21"/>
  <c r="U70" i="21"/>
  <c r="U71" i="21"/>
  <c r="U72" i="21"/>
  <c r="U73" i="21"/>
  <c r="U74" i="21"/>
  <c r="U75" i="21"/>
  <c r="U76" i="21"/>
  <c r="U77" i="21"/>
  <c r="U78" i="21"/>
  <c r="U79" i="21"/>
  <c r="U80" i="21"/>
  <c r="U57" i="21"/>
  <c r="U56" i="21"/>
  <c r="U34" i="21"/>
  <c r="U35" i="21"/>
  <c r="U36" i="21"/>
  <c r="U38" i="21"/>
  <c r="U39" i="21"/>
  <c r="U40" i="21"/>
  <c r="U42" i="21"/>
  <c r="U43" i="21"/>
  <c r="U44" i="21"/>
  <c r="U46" i="21"/>
  <c r="U47" i="21"/>
  <c r="U48" i="21"/>
  <c r="U50" i="21"/>
  <c r="U51" i="21"/>
  <c r="U52" i="21"/>
  <c r="U54" i="21"/>
  <c r="U55" i="21"/>
  <c r="U32" i="21"/>
  <c r="T57" i="21"/>
  <c r="T58" i="21"/>
  <c r="T59" i="21"/>
  <c r="T60" i="21"/>
  <c r="T61" i="21"/>
  <c r="T62" i="21"/>
  <c r="T63" i="21"/>
  <c r="T64" i="21"/>
  <c r="T65" i="21"/>
  <c r="T66" i="21"/>
  <c r="T67" i="21"/>
  <c r="T68" i="21"/>
  <c r="T69" i="21"/>
  <c r="T70" i="21"/>
  <c r="T71" i="21"/>
  <c r="T72" i="21"/>
  <c r="T73" i="21"/>
  <c r="T74" i="21"/>
  <c r="T75" i="21"/>
  <c r="T76" i="21"/>
  <c r="T77" i="21"/>
  <c r="T78" i="21"/>
  <c r="T79" i="21"/>
  <c r="T80" i="21"/>
  <c r="T56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45" i="21"/>
  <c r="T46" i="21"/>
  <c r="T47" i="21"/>
  <c r="T48" i="21"/>
  <c r="T49" i="21"/>
  <c r="T50" i="21"/>
  <c r="T51" i="21"/>
  <c r="T52" i="21"/>
  <c r="T53" i="21"/>
  <c r="T54" i="21"/>
  <c r="T55" i="21"/>
  <c r="T31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78" i="21"/>
  <c r="R79" i="21"/>
  <c r="R80" i="21"/>
  <c r="R56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31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56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31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56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31" i="21"/>
  <c r="M57" i="21"/>
  <c r="N57" i="21" s="1"/>
  <c r="M58" i="21"/>
  <c r="N58" i="21" s="1"/>
  <c r="M59" i="21"/>
  <c r="N59" i="21" s="1"/>
  <c r="M60" i="21"/>
  <c r="N60" i="21" s="1"/>
  <c r="M61" i="21"/>
  <c r="N61" i="21" s="1"/>
  <c r="M62" i="21"/>
  <c r="N62" i="21" s="1"/>
  <c r="M63" i="21"/>
  <c r="N63" i="21" s="1"/>
  <c r="M64" i="21"/>
  <c r="N64" i="21" s="1"/>
  <c r="M65" i="21"/>
  <c r="N65" i="21" s="1"/>
  <c r="M66" i="21"/>
  <c r="N66" i="21" s="1"/>
  <c r="M67" i="21"/>
  <c r="N67" i="21" s="1"/>
  <c r="M68" i="21"/>
  <c r="N68" i="21" s="1"/>
  <c r="M69" i="21"/>
  <c r="N69" i="21" s="1"/>
  <c r="M70" i="21"/>
  <c r="N70" i="21" s="1"/>
  <c r="M71" i="21"/>
  <c r="N71" i="21" s="1"/>
  <c r="M72" i="21"/>
  <c r="N72" i="21" s="1"/>
  <c r="M73" i="21"/>
  <c r="N73" i="21" s="1"/>
  <c r="M74" i="21"/>
  <c r="N74" i="21" s="1"/>
  <c r="M75" i="21"/>
  <c r="N75" i="21" s="1"/>
  <c r="M76" i="21"/>
  <c r="N76" i="21" s="1"/>
  <c r="M77" i="21"/>
  <c r="N77" i="21" s="1"/>
  <c r="M78" i="21"/>
  <c r="N78" i="21" s="1"/>
  <c r="M79" i="21"/>
  <c r="N79" i="21" s="1"/>
  <c r="M80" i="21"/>
  <c r="N80" i="21" s="1"/>
  <c r="M56" i="21"/>
  <c r="N56" i="21" s="1"/>
  <c r="M33" i="21"/>
  <c r="N33" i="21" s="1"/>
  <c r="M34" i="21"/>
  <c r="N34" i="21" s="1"/>
  <c r="M35" i="21"/>
  <c r="N35" i="21" s="1"/>
  <c r="M36" i="21"/>
  <c r="N36" i="21" s="1"/>
  <c r="M37" i="21"/>
  <c r="N37" i="21" s="1"/>
  <c r="M38" i="21"/>
  <c r="N38" i="21" s="1"/>
  <c r="M39" i="21"/>
  <c r="N39" i="21" s="1"/>
  <c r="M40" i="21"/>
  <c r="N40" i="21" s="1"/>
  <c r="M41" i="21"/>
  <c r="N41" i="21" s="1"/>
  <c r="M42" i="21"/>
  <c r="N42" i="21" s="1"/>
  <c r="M43" i="21"/>
  <c r="N43" i="21" s="1"/>
  <c r="M44" i="21"/>
  <c r="N44" i="21" s="1"/>
  <c r="M45" i="21"/>
  <c r="N45" i="21" s="1"/>
  <c r="M46" i="21"/>
  <c r="N46" i="21" s="1"/>
  <c r="M47" i="21"/>
  <c r="N47" i="21" s="1"/>
  <c r="M48" i="21"/>
  <c r="N48" i="21" s="1"/>
  <c r="M49" i="21"/>
  <c r="N49" i="21" s="1"/>
  <c r="M50" i="21"/>
  <c r="N50" i="21" s="1"/>
  <c r="M51" i="21"/>
  <c r="N51" i="21" s="1"/>
  <c r="M52" i="21"/>
  <c r="N52" i="21" s="1"/>
  <c r="M53" i="21"/>
  <c r="N53" i="21" s="1"/>
  <c r="M54" i="21"/>
  <c r="N54" i="21" s="1"/>
  <c r="M55" i="21"/>
  <c r="N55" i="21" s="1"/>
  <c r="M32" i="21"/>
  <c r="N32" i="21" s="1"/>
  <c r="M31" i="21"/>
  <c r="N31" i="21" s="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57" i="21"/>
  <c r="L56" i="21"/>
  <c r="L34" i="21"/>
  <c r="L35" i="21"/>
  <c r="L37" i="21"/>
  <c r="L38" i="21"/>
  <c r="L39" i="21"/>
  <c r="L41" i="21"/>
  <c r="L42" i="21"/>
  <c r="L43" i="21"/>
  <c r="L45" i="21"/>
  <c r="L46" i="21"/>
  <c r="L47" i="21"/>
  <c r="L49" i="21"/>
  <c r="L50" i="21"/>
  <c r="L51" i="21"/>
  <c r="L53" i="21"/>
  <c r="L54" i="21"/>
  <c r="L55" i="21"/>
  <c r="L31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58" i="21"/>
  <c r="I57" i="21"/>
  <c r="I56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31" i="21"/>
  <c r="AT35" i="67" l="1"/>
  <c r="AT20" i="67"/>
  <c r="AT33" i="67"/>
  <c r="AT29" i="67"/>
  <c r="AT22" i="67"/>
  <c r="AT18" i="67"/>
  <c r="AT24" i="67"/>
  <c r="AT31" i="67"/>
  <c r="AY43" i="67"/>
  <c r="AY41" i="67"/>
  <c r="AY39" i="67"/>
  <c r="AY37" i="67"/>
  <c r="AY33" i="67"/>
  <c r="AY29" i="67"/>
  <c r="AY27" i="67"/>
  <c r="AY21" i="67"/>
  <c r="AY25" i="67"/>
  <c r="AY35" i="67"/>
  <c r="AY19" i="67"/>
  <c r="AY31" i="67"/>
  <c r="AY23" i="67"/>
  <c r="L33" i="21"/>
  <c r="AP33" i="67" s="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57" i="21"/>
  <c r="H56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31" i="21"/>
  <c r="M43" i="59"/>
  <c r="BC23" i="67" l="1"/>
  <c r="AP22" i="67"/>
  <c r="AP31" i="67"/>
  <c r="AM17" i="67"/>
  <c r="AM21" i="67"/>
  <c r="AM23" i="67"/>
  <c r="AM19" i="67"/>
  <c r="BC19" i="67"/>
  <c r="AP20" i="67"/>
  <c r="AP18" i="67"/>
  <c r="BC21" i="67"/>
  <c r="BC25" i="67"/>
  <c r="AP35" i="67"/>
  <c r="AP29" i="67"/>
  <c r="AP24" i="67"/>
  <c r="L6" i="59"/>
  <c r="L7" i="59"/>
  <c r="L8" i="59"/>
  <c r="L9" i="59"/>
  <c r="L10" i="59"/>
  <c r="L11" i="59"/>
  <c r="L12" i="59"/>
  <c r="L5" i="59"/>
  <c r="J5" i="58"/>
  <c r="R41" i="59"/>
  <c r="Q41" i="59"/>
  <c r="O41" i="59"/>
  <c r="M41" i="59"/>
  <c r="L41" i="59"/>
  <c r="K41" i="59"/>
  <c r="J41" i="59"/>
  <c r="I41" i="59"/>
  <c r="H41" i="59"/>
  <c r="F41" i="59"/>
  <c r="E41" i="59"/>
  <c r="C41" i="59"/>
  <c r="R40" i="59"/>
  <c r="Q40" i="59"/>
  <c r="O40" i="59"/>
  <c r="M40" i="59"/>
  <c r="L40" i="59"/>
  <c r="K40" i="59"/>
  <c r="J40" i="59"/>
  <c r="I40" i="59"/>
  <c r="H40" i="59"/>
  <c r="F40" i="59"/>
  <c r="E40" i="59"/>
  <c r="C40" i="59"/>
  <c r="R39" i="59"/>
  <c r="Q39" i="59"/>
  <c r="O39" i="59"/>
  <c r="M39" i="59"/>
  <c r="L39" i="59"/>
  <c r="K39" i="59"/>
  <c r="J39" i="59"/>
  <c r="I39" i="59"/>
  <c r="H39" i="59"/>
  <c r="F39" i="59"/>
  <c r="E39" i="59"/>
  <c r="C39" i="59"/>
  <c r="R38" i="59"/>
  <c r="Q38" i="59"/>
  <c r="O38" i="59"/>
  <c r="M38" i="59"/>
  <c r="L38" i="59"/>
  <c r="K38" i="59"/>
  <c r="J38" i="59"/>
  <c r="I38" i="59"/>
  <c r="H38" i="59"/>
  <c r="F38" i="59"/>
  <c r="E38" i="59"/>
  <c r="C38" i="59"/>
  <c r="R37" i="59"/>
  <c r="Q37" i="59"/>
  <c r="O37" i="59"/>
  <c r="M37" i="59"/>
  <c r="L37" i="59"/>
  <c r="K37" i="59"/>
  <c r="J37" i="59"/>
  <c r="I37" i="59"/>
  <c r="H37" i="59"/>
  <c r="F37" i="59"/>
  <c r="E37" i="59"/>
  <c r="C37" i="59"/>
  <c r="R36" i="59"/>
  <c r="Q36" i="59"/>
  <c r="O36" i="59"/>
  <c r="M36" i="59"/>
  <c r="L36" i="59"/>
  <c r="K36" i="59"/>
  <c r="J36" i="59"/>
  <c r="I36" i="59"/>
  <c r="H36" i="59"/>
  <c r="F36" i="59"/>
  <c r="E36" i="59"/>
  <c r="C36" i="59"/>
  <c r="R35" i="59"/>
  <c r="Q35" i="59"/>
  <c r="O35" i="59"/>
  <c r="M35" i="59"/>
  <c r="L35" i="59"/>
  <c r="K35" i="59"/>
  <c r="J35" i="59"/>
  <c r="I35" i="59"/>
  <c r="H35" i="59"/>
  <c r="F35" i="59"/>
  <c r="E35" i="59"/>
  <c r="C35" i="59"/>
  <c r="R34" i="59"/>
  <c r="Q34" i="59"/>
  <c r="O34" i="59"/>
  <c r="M34" i="59"/>
  <c r="L34" i="59"/>
  <c r="K34" i="59"/>
  <c r="J34" i="59"/>
  <c r="I34" i="59"/>
  <c r="H34" i="59"/>
  <c r="F34" i="59"/>
  <c r="E34" i="59"/>
  <c r="C34" i="59"/>
  <c r="R33" i="59"/>
  <c r="Q33" i="59"/>
  <c r="O33" i="59"/>
  <c r="M33" i="59"/>
  <c r="L33" i="59"/>
  <c r="K33" i="59"/>
  <c r="J33" i="59"/>
  <c r="I33" i="59"/>
  <c r="H33" i="59"/>
  <c r="F33" i="59"/>
  <c r="E33" i="59"/>
  <c r="C33" i="59"/>
  <c r="R32" i="59"/>
  <c r="Q32" i="59"/>
  <c r="O32" i="59"/>
  <c r="M32" i="59"/>
  <c r="L32" i="59"/>
  <c r="K32" i="59"/>
  <c r="J32" i="59"/>
  <c r="I32" i="59"/>
  <c r="H32" i="59"/>
  <c r="F32" i="59"/>
  <c r="E32" i="59"/>
  <c r="C32" i="59"/>
  <c r="R31" i="59"/>
  <c r="Q31" i="59"/>
  <c r="O31" i="59"/>
  <c r="M31" i="59"/>
  <c r="L31" i="59"/>
  <c r="K31" i="59"/>
  <c r="J31" i="59"/>
  <c r="I31" i="59"/>
  <c r="H31" i="59"/>
  <c r="F31" i="59"/>
  <c r="E31" i="59"/>
  <c r="C31" i="59"/>
  <c r="R30" i="59"/>
  <c r="Q30" i="59"/>
  <c r="O30" i="59"/>
  <c r="M30" i="59"/>
  <c r="L30" i="59"/>
  <c r="K30" i="59"/>
  <c r="J30" i="59"/>
  <c r="I30" i="59"/>
  <c r="H30" i="59"/>
  <c r="F30" i="59"/>
  <c r="E30" i="59"/>
  <c r="C30" i="59"/>
  <c r="R29" i="59"/>
  <c r="Q29" i="59"/>
  <c r="O29" i="59"/>
  <c r="M29" i="59"/>
  <c r="L29" i="59"/>
  <c r="K29" i="59"/>
  <c r="J29" i="59"/>
  <c r="I29" i="59"/>
  <c r="H29" i="59"/>
  <c r="F29" i="59"/>
  <c r="E29" i="59"/>
  <c r="C29" i="59"/>
  <c r="R28" i="59"/>
  <c r="Q28" i="59"/>
  <c r="O28" i="59"/>
  <c r="M28" i="59"/>
  <c r="L28" i="59"/>
  <c r="K28" i="59"/>
  <c r="J28" i="59"/>
  <c r="I28" i="59"/>
  <c r="H28" i="59"/>
  <c r="F28" i="59"/>
  <c r="E28" i="59"/>
  <c r="C28" i="59"/>
  <c r="R27" i="59"/>
  <c r="Q27" i="59"/>
  <c r="O27" i="59"/>
  <c r="M27" i="59"/>
  <c r="L27" i="59"/>
  <c r="K27" i="59"/>
  <c r="J27" i="59"/>
  <c r="I27" i="59"/>
  <c r="H27" i="59"/>
  <c r="F27" i="59"/>
  <c r="E27" i="59"/>
  <c r="C27" i="59"/>
  <c r="R26" i="59"/>
  <c r="Q26" i="59"/>
  <c r="O26" i="59"/>
  <c r="M26" i="59"/>
  <c r="L26" i="59"/>
  <c r="K26" i="59"/>
  <c r="J26" i="59"/>
  <c r="I26" i="59"/>
  <c r="H26" i="59"/>
  <c r="F26" i="59"/>
  <c r="E26" i="59"/>
  <c r="C26" i="59"/>
  <c r="R25" i="59"/>
  <c r="Q25" i="59"/>
  <c r="O25" i="59"/>
  <c r="M25" i="59"/>
  <c r="L25" i="59"/>
  <c r="K25" i="59"/>
  <c r="J25" i="59"/>
  <c r="I25" i="59"/>
  <c r="H25" i="59"/>
  <c r="F25" i="59"/>
  <c r="E25" i="59"/>
  <c r="C25" i="59"/>
  <c r="R24" i="59"/>
  <c r="Q24" i="59"/>
  <c r="O24" i="59"/>
  <c r="M24" i="59"/>
  <c r="L24" i="59"/>
  <c r="K24" i="59"/>
  <c r="J24" i="59"/>
  <c r="I24" i="59"/>
  <c r="H24" i="59"/>
  <c r="F24" i="59"/>
  <c r="E24" i="59"/>
  <c r="C24" i="59"/>
  <c r="R23" i="59"/>
  <c r="Q23" i="59"/>
  <c r="O23" i="59"/>
  <c r="M23" i="59"/>
  <c r="L23" i="59"/>
  <c r="K23" i="59"/>
  <c r="J23" i="59"/>
  <c r="I23" i="59"/>
  <c r="H23" i="59"/>
  <c r="F23" i="59"/>
  <c r="E23" i="59"/>
  <c r="C23" i="59"/>
  <c r="R22" i="59"/>
  <c r="Q22" i="59"/>
  <c r="O22" i="59"/>
  <c r="M22" i="59"/>
  <c r="L22" i="59"/>
  <c r="K22" i="59"/>
  <c r="J22" i="59"/>
  <c r="I22" i="59"/>
  <c r="H22" i="59"/>
  <c r="F22" i="59"/>
  <c r="E22" i="59"/>
  <c r="C22" i="59"/>
  <c r="R21" i="59"/>
  <c r="Q21" i="59"/>
  <c r="O21" i="59"/>
  <c r="M21" i="59"/>
  <c r="L21" i="59"/>
  <c r="K21" i="59"/>
  <c r="J21" i="59"/>
  <c r="I21" i="59"/>
  <c r="H21" i="59"/>
  <c r="F21" i="59"/>
  <c r="E21" i="59"/>
  <c r="C21" i="59"/>
  <c r="R20" i="59"/>
  <c r="Q20" i="59"/>
  <c r="O20" i="59"/>
  <c r="M20" i="59"/>
  <c r="L20" i="59"/>
  <c r="K20" i="59"/>
  <c r="J20" i="59"/>
  <c r="I20" i="59"/>
  <c r="H20" i="59"/>
  <c r="F20" i="59"/>
  <c r="E20" i="59"/>
  <c r="C20" i="59"/>
  <c r="R19" i="59"/>
  <c r="Q19" i="59"/>
  <c r="O19" i="59"/>
  <c r="M19" i="59"/>
  <c r="L19" i="59"/>
  <c r="K19" i="59"/>
  <c r="J19" i="59"/>
  <c r="I19" i="59"/>
  <c r="H19" i="59"/>
  <c r="F19" i="59"/>
  <c r="E19" i="59"/>
  <c r="C19" i="59"/>
  <c r="R18" i="59"/>
  <c r="Q18" i="59"/>
  <c r="O18" i="59"/>
  <c r="M18" i="59"/>
  <c r="L18" i="59"/>
  <c r="K18" i="59"/>
  <c r="J18" i="59"/>
  <c r="I18" i="59"/>
  <c r="H18" i="59"/>
  <c r="F18" i="59"/>
  <c r="E18" i="59"/>
  <c r="C18" i="59"/>
  <c r="R17" i="59"/>
  <c r="Q17" i="59"/>
  <c r="O17" i="59"/>
  <c r="M17" i="59"/>
  <c r="L17" i="59"/>
  <c r="K17" i="59"/>
  <c r="J17" i="59"/>
  <c r="I17" i="59"/>
  <c r="H17" i="59"/>
  <c r="F17" i="59"/>
  <c r="E17" i="59"/>
  <c r="C17" i="59"/>
  <c r="P7" i="59"/>
  <c r="P5" i="59"/>
  <c r="B41" i="59" s="1"/>
  <c r="M42" i="58"/>
  <c r="Q40" i="58"/>
  <c r="P40" i="58"/>
  <c r="N40" i="58"/>
  <c r="M40" i="58"/>
  <c r="L40" i="58"/>
  <c r="K40" i="58"/>
  <c r="J40" i="58"/>
  <c r="I40" i="58"/>
  <c r="H40" i="58"/>
  <c r="F40" i="58"/>
  <c r="E40" i="58"/>
  <c r="C40" i="58"/>
  <c r="Q39" i="58"/>
  <c r="P39" i="58"/>
  <c r="N39" i="58"/>
  <c r="M39" i="58"/>
  <c r="L39" i="58"/>
  <c r="K39" i="58"/>
  <c r="J39" i="58"/>
  <c r="I39" i="58"/>
  <c r="H39" i="58"/>
  <c r="F39" i="58"/>
  <c r="E39" i="58"/>
  <c r="C39" i="58"/>
  <c r="Q38" i="58"/>
  <c r="P38" i="58"/>
  <c r="N38" i="58"/>
  <c r="M38" i="58"/>
  <c r="L38" i="58"/>
  <c r="K38" i="58"/>
  <c r="J38" i="58"/>
  <c r="I38" i="58"/>
  <c r="H38" i="58"/>
  <c r="F38" i="58"/>
  <c r="E38" i="58"/>
  <c r="C38" i="58"/>
  <c r="Q37" i="58"/>
  <c r="P37" i="58"/>
  <c r="N37" i="58"/>
  <c r="M37" i="58"/>
  <c r="L37" i="58"/>
  <c r="K37" i="58"/>
  <c r="J37" i="58"/>
  <c r="I37" i="58"/>
  <c r="H37" i="58"/>
  <c r="F37" i="58"/>
  <c r="E37" i="58"/>
  <c r="C37" i="58"/>
  <c r="Q36" i="58"/>
  <c r="P36" i="58"/>
  <c r="N36" i="58"/>
  <c r="M36" i="58"/>
  <c r="L36" i="58"/>
  <c r="K36" i="58"/>
  <c r="J36" i="58"/>
  <c r="I36" i="58"/>
  <c r="H36" i="58"/>
  <c r="F36" i="58"/>
  <c r="E36" i="58"/>
  <c r="C36" i="58"/>
  <c r="Q35" i="58"/>
  <c r="P35" i="58"/>
  <c r="N35" i="58"/>
  <c r="M35" i="58"/>
  <c r="L35" i="58"/>
  <c r="K35" i="58"/>
  <c r="J35" i="58"/>
  <c r="I35" i="58"/>
  <c r="H35" i="58"/>
  <c r="F35" i="58"/>
  <c r="E35" i="58"/>
  <c r="C35" i="58"/>
  <c r="Q34" i="58"/>
  <c r="P34" i="58"/>
  <c r="N34" i="58"/>
  <c r="M34" i="58"/>
  <c r="L34" i="58"/>
  <c r="K34" i="58"/>
  <c r="J34" i="58"/>
  <c r="I34" i="58"/>
  <c r="H34" i="58"/>
  <c r="F34" i="58"/>
  <c r="E34" i="58"/>
  <c r="C34" i="58"/>
  <c r="Q33" i="58"/>
  <c r="P33" i="58"/>
  <c r="N33" i="58"/>
  <c r="M33" i="58"/>
  <c r="L33" i="58"/>
  <c r="K33" i="58"/>
  <c r="J33" i="58"/>
  <c r="I33" i="58"/>
  <c r="H33" i="58"/>
  <c r="F33" i="58"/>
  <c r="E33" i="58"/>
  <c r="C33" i="58"/>
  <c r="Q32" i="58"/>
  <c r="P32" i="58"/>
  <c r="N32" i="58"/>
  <c r="M32" i="58"/>
  <c r="L32" i="58"/>
  <c r="K32" i="58"/>
  <c r="J32" i="58"/>
  <c r="I32" i="58"/>
  <c r="H32" i="58"/>
  <c r="F32" i="58"/>
  <c r="E32" i="58"/>
  <c r="C32" i="58"/>
  <c r="Q31" i="58"/>
  <c r="P31" i="58"/>
  <c r="N31" i="58"/>
  <c r="M31" i="58"/>
  <c r="L31" i="58"/>
  <c r="K31" i="58"/>
  <c r="J31" i="58"/>
  <c r="I31" i="58"/>
  <c r="H31" i="58"/>
  <c r="F31" i="58"/>
  <c r="E31" i="58"/>
  <c r="C31" i="58"/>
  <c r="Q30" i="58"/>
  <c r="P30" i="58"/>
  <c r="N30" i="58"/>
  <c r="M30" i="58"/>
  <c r="L30" i="58"/>
  <c r="K30" i="58"/>
  <c r="J30" i="58"/>
  <c r="I30" i="58"/>
  <c r="H30" i="58"/>
  <c r="F30" i="58"/>
  <c r="E30" i="58"/>
  <c r="C30" i="58"/>
  <c r="Q29" i="58"/>
  <c r="P29" i="58"/>
  <c r="N29" i="58"/>
  <c r="M29" i="58"/>
  <c r="L29" i="58"/>
  <c r="K29" i="58"/>
  <c r="J29" i="58"/>
  <c r="I29" i="58"/>
  <c r="H29" i="58"/>
  <c r="F29" i="58"/>
  <c r="E29" i="58"/>
  <c r="C29" i="58"/>
  <c r="Q28" i="58"/>
  <c r="P28" i="58"/>
  <c r="N28" i="58"/>
  <c r="M28" i="58"/>
  <c r="L28" i="58"/>
  <c r="K28" i="58"/>
  <c r="J28" i="58"/>
  <c r="I28" i="58"/>
  <c r="H28" i="58"/>
  <c r="F28" i="58"/>
  <c r="E28" i="58"/>
  <c r="C28" i="58"/>
  <c r="Q27" i="58"/>
  <c r="P27" i="58"/>
  <c r="N27" i="58"/>
  <c r="M27" i="58"/>
  <c r="L27" i="58"/>
  <c r="K27" i="58"/>
  <c r="J27" i="58"/>
  <c r="I27" i="58"/>
  <c r="H27" i="58"/>
  <c r="F27" i="58"/>
  <c r="E27" i="58"/>
  <c r="C27" i="58"/>
  <c r="Q26" i="58"/>
  <c r="P26" i="58"/>
  <c r="N26" i="58"/>
  <c r="M26" i="58"/>
  <c r="L26" i="58"/>
  <c r="K26" i="58"/>
  <c r="J26" i="58"/>
  <c r="I26" i="58"/>
  <c r="H26" i="58"/>
  <c r="F26" i="58"/>
  <c r="E26" i="58"/>
  <c r="C26" i="58"/>
  <c r="Q25" i="58"/>
  <c r="P25" i="58"/>
  <c r="N25" i="58"/>
  <c r="M25" i="58"/>
  <c r="L25" i="58"/>
  <c r="K25" i="58"/>
  <c r="J25" i="58"/>
  <c r="I25" i="58"/>
  <c r="H25" i="58"/>
  <c r="F25" i="58"/>
  <c r="E25" i="58"/>
  <c r="C25" i="58"/>
  <c r="Q24" i="58"/>
  <c r="P24" i="58"/>
  <c r="N24" i="58"/>
  <c r="M24" i="58"/>
  <c r="L24" i="58"/>
  <c r="K24" i="58"/>
  <c r="J24" i="58"/>
  <c r="I24" i="58"/>
  <c r="H24" i="58"/>
  <c r="F24" i="58"/>
  <c r="E24" i="58"/>
  <c r="C24" i="58"/>
  <c r="Q23" i="58"/>
  <c r="P23" i="58"/>
  <c r="N23" i="58"/>
  <c r="M23" i="58"/>
  <c r="L23" i="58"/>
  <c r="K23" i="58"/>
  <c r="J23" i="58"/>
  <c r="I23" i="58"/>
  <c r="H23" i="58"/>
  <c r="F23" i="58"/>
  <c r="E23" i="58"/>
  <c r="C23" i="58"/>
  <c r="Q22" i="58"/>
  <c r="P22" i="58"/>
  <c r="N22" i="58"/>
  <c r="M22" i="58"/>
  <c r="L22" i="58"/>
  <c r="K22" i="58"/>
  <c r="J22" i="58"/>
  <c r="I22" i="58"/>
  <c r="H22" i="58"/>
  <c r="F22" i="58"/>
  <c r="E22" i="58"/>
  <c r="C22" i="58"/>
  <c r="Q21" i="58"/>
  <c r="P21" i="58"/>
  <c r="N21" i="58"/>
  <c r="M21" i="58"/>
  <c r="L21" i="58"/>
  <c r="K21" i="58"/>
  <c r="J21" i="58"/>
  <c r="I21" i="58"/>
  <c r="H21" i="58"/>
  <c r="F21" i="58"/>
  <c r="E21" i="58"/>
  <c r="C21" i="58"/>
  <c r="Q20" i="58"/>
  <c r="P20" i="58"/>
  <c r="N20" i="58"/>
  <c r="M20" i="58"/>
  <c r="L20" i="58"/>
  <c r="K20" i="58"/>
  <c r="J20" i="58"/>
  <c r="I20" i="58"/>
  <c r="H20" i="58"/>
  <c r="F20" i="58"/>
  <c r="E20" i="58"/>
  <c r="C20" i="58"/>
  <c r="Q19" i="58"/>
  <c r="P19" i="58"/>
  <c r="N19" i="58"/>
  <c r="M19" i="58"/>
  <c r="L19" i="58"/>
  <c r="K19" i="58"/>
  <c r="J19" i="58"/>
  <c r="I19" i="58"/>
  <c r="H19" i="58"/>
  <c r="F19" i="58"/>
  <c r="E19" i="58"/>
  <c r="C19" i="58"/>
  <c r="Q18" i="58"/>
  <c r="P18" i="58"/>
  <c r="N18" i="58"/>
  <c r="M18" i="58"/>
  <c r="L18" i="58"/>
  <c r="K18" i="58"/>
  <c r="J18" i="58"/>
  <c r="I18" i="58"/>
  <c r="H18" i="58"/>
  <c r="F18" i="58"/>
  <c r="E18" i="58"/>
  <c r="C18" i="58"/>
  <c r="Q17" i="58"/>
  <c r="P17" i="58"/>
  <c r="N17" i="58"/>
  <c r="M17" i="58"/>
  <c r="L17" i="58"/>
  <c r="K17" i="58"/>
  <c r="J17" i="58"/>
  <c r="I17" i="58"/>
  <c r="H17" i="58"/>
  <c r="F17" i="58"/>
  <c r="E17" i="58"/>
  <c r="C17" i="58"/>
  <c r="Q16" i="58"/>
  <c r="P16" i="58"/>
  <c r="N16" i="58"/>
  <c r="M16" i="58"/>
  <c r="L16" i="58"/>
  <c r="K16" i="58"/>
  <c r="J16" i="58"/>
  <c r="I16" i="58"/>
  <c r="H16" i="58"/>
  <c r="F16" i="58"/>
  <c r="E16" i="58"/>
  <c r="C16" i="58"/>
  <c r="O7" i="58"/>
  <c r="O5" i="58"/>
  <c r="B40" i="58" s="1"/>
  <c r="AB38" i="66"/>
  <c r="Z38" i="66"/>
  <c r="X38" i="66"/>
  <c r="V38" i="66"/>
  <c r="T38" i="66"/>
  <c r="R38" i="66"/>
  <c r="AA37" i="66"/>
  <c r="W37" i="66"/>
  <c r="S37" i="66"/>
  <c r="AF36" i="66"/>
  <c r="AD36" i="66"/>
  <c r="AB36" i="66"/>
  <c r="Z36" i="66"/>
  <c r="X36" i="66"/>
  <c r="V36" i="66"/>
  <c r="T36" i="66"/>
  <c r="R36" i="66"/>
  <c r="AE35" i="66"/>
  <c r="AA35" i="66"/>
  <c r="W35" i="66"/>
  <c r="S35" i="66"/>
  <c r="AF34" i="66"/>
  <c r="AD34" i="66"/>
  <c r="AB34" i="66"/>
  <c r="Z34" i="66"/>
  <c r="X34" i="66"/>
  <c r="V34" i="66"/>
  <c r="T34" i="66"/>
  <c r="R34" i="66"/>
  <c r="AE33" i="66"/>
  <c r="AA33" i="66"/>
  <c r="W33" i="66"/>
  <c r="S33" i="66"/>
  <c r="AF32" i="66"/>
  <c r="AD32" i="66"/>
  <c r="AB32" i="66"/>
  <c r="Z32" i="66"/>
  <c r="X32" i="66"/>
  <c r="V32" i="66"/>
  <c r="T32" i="66"/>
  <c r="R32" i="66"/>
  <c r="AE31" i="66"/>
  <c r="AA31" i="66"/>
  <c r="W31" i="66"/>
  <c r="S31" i="66"/>
  <c r="AF30" i="66"/>
  <c r="AD30" i="66"/>
  <c r="AB30" i="66"/>
  <c r="Z30" i="66"/>
  <c r="X30" i="66"/>
  <c r="V30" i="66"/>
  <c r="T30" i="66"/>
  <c r="R30" i="66"/>
  <c r="AE29" i="66"/>
  <c r="AA29" i="66"/>
  <c r="W29" i="66"/>
  <c r="S29" i="66"/>
  <c r="AF28" i="66"/>
  <c r="AD28" i="66"/>
  <c r="AB28" i="66"/>
  <c r="Z28" i="66"/>
  <c r="X28" i="66"/>
  <c r="V28" i="66"/>
  <c r="T28" i="66"/>
  <c r="R28" i="66"/>
  <c r="AE27" i="66"/>
  <c r="AA27" i="66"/>
  <c r="W27" i="66"/>
  <c r="S27" i="66"/>
  <c r="AF26" i="66"/>
  <c r="AD26" i="66"/>
  <c r="AB26" i="66"/>
  <c r="Z26" i="66"/>
  <c r="X26" i="66"/>
  <c r="V26" i="66"/>
  <c r="T26" i="66"/>
  <c r="R26" i="66"/>
  <c r="AE25" i="66"/>
  <c r="AA25" i="66"/>
  <c r="W25" i="66"/>
  <c r="S25" i="66"/>
  <c r="AF24" i="66"/>
  <c r="AD24" i="66"/>
  <c r="AB24" i="66"/>
  <c r="Z24" i="66"/>
  <c r="X24" i="66"/>
  <c r="V24" i="66"/>
  <c r="T24" i="66"/>
  <c r="R24" i="66"/>
  <c r="AE23" i="66"/>
  <c r="AA23" i="66"/>
  <c r="W23" i="66"/>
  <c r="S23" i="66"/>
  <c r="AF22" i="66"/>
  <c r="AD22" i="66"/>
  <c r="AB22" i="66"/>
  <c r="Z22" i="66"/>
  <c r="X22" i="66"/>
  <c r="V22" i="66"/>
  <c r="T22" i="66"/>
  <c r="R22" i="66"/>
  <c r="AE21" i="66"/>
  <c r="AA21" i="66"/>
  <c r="W21" i="66"/>
  <c r="S21" i="66"/>
  <c r="AF20" i="66"/>
  <c r="AD20" i="66"/>
  <c r="AB20" i="66"/>
  <c r="Z20" i="66"/>
  <c r="X20" i="66"/>
  <c r="V20" i="66"/>
  <c r="T20" i="66"/>
  <c r="R20" i="66"/>
  <c r="AE19" i="66"/>
  <c r="AA19" i="66"/>
  <c r="W19" i="66"/>
  <c r="S19" i="66"/>
  <c r="AF18" i="66"/>
  <c r="AD18" i="66"/>
  <c r="AB18" i="66"/>
  <c r="Z18" i="66"/>
  <c r="X18" i="66"/>
  <c r="V18" i="66"/>
  <c r="T18" i="66"/>
  <c r="R18" i="66"/>
  <c r="AE17" i="66"/>
  <c r="AA17" i="66"/>
  <c r="W17" i="66"/>
  <c r="S17" i="66"/>
  <c r="AF16" i="66"/>
  <c r="AD16" i="66"/>
  <c r="AB16" i="66"/>
  <c r="Z16" i="66"/>
  <c r="X16" i="66"/>
  <c r="V16" i="66"/>
  <c r="T16" i="66"/>
  <c r="R16" i="66"/>
  <c r="AE15" i="66"/>
  <c r="AA15" i="66"/>
  <c r="W15" i="66"/>
  <c r="S15" i="66"/>
  <c r="AF14" i="66"/>
  <c r="AD14" i="66"/>
  <c r="AB14" i="66"/>
  <c r="Z14" i="66"/>
  <c r="X14" i="66"/>
  <c r="V14" i="66"/>
  <c r="T14" i="66"/>
  <c r="R14" i="66"/>
  <c r="AE13" i="66"/>
  <c r="AA13" i="66"/>
  <c r="W13" i="66"/>
  <c r="S13" i="66"/>
  <c r="AF12" i="66"/>
  <c r="AD12" i="66"/>
  <c r="AB12" i="66"/>
  <c r="Z12" i="66"/>
  <c r="X12" i="66"/>
  <c r="V12" i="66"/>
  <c r="T12" i="66"/>
  <c r="R12" i="66"/>
  <c r="AE11" i="66"/>
  <c r="AA11" i="66"/>
  <c r="W11" i="66"/>
  <c r="S11" i="66"/>
  <c r="AF10" i="66"/>
  <c r="AD10" i="66"/>
  <c r="AB10" i="66"/>
  <c r="Z10" i="66"/>
  <c r="X10" i="66"/>
  <c r="V10" i="66"/>
  <c r="T10" i="66"/>
  <c r="R10" i="66"/>
  <c r="AE9" i="66"/>
  <c r="AA9" i="66"/>
  <c r="W9" i="66"/>
  <c r="S9" i="66"/>
  <c r="AF8" i="66"/>
  <c r="AD8" i="66"/>
  <c r="AB8" i="66"/>
  <c r="Z8" i="66"/>
  <c r="X8" i="66"/>
  <c r="V8" i="66"/>
  <c r="T8" i="66"/>
  <c r="R8" i="66"/>
  <c r="AE7" i="66"/>
  <c r="AA7" i="66"/>
  <c r="W7" i="66"/>
  <c r="S7" i="66"/>
  <c r="AF6" i="66"/>
  <c r="AD6" i="66"/>
  <c r="AB6" i="66"/>
  <c r="Z6" i="66"/>
  <c r="X6" i="66"/>
  <c r="V6" i="66"/>
  <c r="T6" i="66"/>
  <c r="R6" i="66"/>
  <c r="AE5" i="66"/>
  <c r="AA5" i="66"/>
  <c r="W5" i="66"/>
  <c r="S5" i="66"/>
  <c r="AF4" i="66"/>
  <c r="AD4" i="66"/>
  <c r="AB4" i="66"/>
  <c r="Z4" i="66"/>
  <c r="X4" i="66"/>
  <c r="V4" i="66"/>
  <c r="T4" i="66"/>
  <c r="R4" i="66"/>
  <c r="AE3" i="66"/>
  <c r="AA3" i="66"/>
  <c r="X3" i="66"/>
  <c r="T3" i="66"/>
  <c r="AF2" i="66"/>
  <c r="AD2" i="66"/>
  <c r="AB2" i="66"/>
  <c r="Z2" i="66"/>
  <c r="X2" i="66"/>
  <c r="V2" i="66"/>
  <c r="T2" i="66"/>
  <c r="R2" i="66"/>
  <c r="AE1" i="66"/>
  <c r="AA1" i="66"/>
  <c r="W1" i="66"/>
  <c r="S1" i="66"/>
  <c r="C29" i="65"/>
  <c r="K29" i="65"/>
  <c r="G29" i="65"/>
  <c r="K26" i="65"/>
  <c r="G26" i="65"/>
  <c r="S20" i="65"/>
  <c r="O20" i="65"/>
  <c r="W17" i="65"/>
  <c r="S17" i="65"/>
  <c r="O17" i="65"/>
  <c r="W14" i="65"/>
  <c r="S14" i="65"/>
  <c r="O14" i="65"/>
  <c r="W11" i="65"/>
  <c r="S11" i="65"/>
  <c r="O11" i="65"/>
  <c r="W8" i="65"/>
  <c r="S8" i="65"/>
  <c r="O8" i="65"/>
  <c r="W5" i="65"/>
  <c r="S5" i="65"/>
  <c r="O5" i="65"/>
  <c r="W2" i="65"/>
  <c r="S2" i="65"/>
  <c r="O2" i="65"/>
  <c r="L38" i="66"/>
  <c r="J38" i="66"/>
  <c r="H38" i="66"/>
  <c r="F38" i="66"/>
  <c r="D38" i="66"/>
  <c r="B38" i="66"/>
  <c r="K37" i="66"/>
  <c r="G37" i="66"/>
  <c r="C37" i="66"/>
  <c r="P36" i="66"/>
  <c r="N36" i="66"/>
  <c r="L36" i="66"/>
  <c r="J36" i="66"/>
  <c r="H36" i="66"/>
  <c r="F36" i="66"/>
  <c r="D36" i="66"/>
  <c r="B36" i="66"/>
  <c r="O35" i="66"/>
  <c r="K35" i="66"/>
  <c r="G35" i="66"/>
  <c r="C35" i="66"/>
  <c r="P34" i="66"/>
  <c r="N34" i="66"/>
  <c r="L34" i="66"/>
  <c r="J34" i="66"/>
  <c r="H34" i="66"/>
  <c r="F34" i="66"/>
  <c r="D34" i="66"/>
  <c r="B34" i="66"/>
  <c r="O33" i="66"/>
  <c r="K33" i="66"/>
  <c r="G33" i="66"/>
  <c r="C33" i="66"/>
  <c r="P32" i="66"/>
  <c r="N32" i="66"/>
  <c r="L32" i="66"/>
  <c r="J32" i="66"/>
  <c r="H32" i="66"/>
  <c r="F32" i="66"/>
  <c r="D32" i="66"/>
  <c r="B32" i="66"/>
  <c r="O31" i="66"/>
  <c r="K31" i="66"/>
  <c r="G31" i="66"/>
  <c r="C31" i="66"/>
  <c r="P30" i="66"/>
  <c r="N30" i="66"/>
  <c r="L30" i="66"/>
  <c r="J30" i="66"/>
  <c r="H30" i="66"/>
  <c r="F30" i="66"/>
  <c r="D30" i="66"/>
  <c r="B30" i="66"/>
  <c r="O29" i="66"/>
  <c r="K29" i="66"/>
  <c r="G29" i="66"/>
  <c r="C29" i="66"/>
  <c r="P28" i="66"/>
  <c r="N28" i="66"/>
  <c r="L28" i="66"/>
  <c r="J28" i="66"/>
  <c r="H28" i="66"/>
  <c r="F28" i="66"/>
  <c r="D28" i="66"/>
  <c r="B28" i="66"/>
  <c r="O27" i="66"/>
  <c r="K27" i="66"/>
  <c r="G27" i="66"/>
  <c r="C27" i="66"/>
  <c r="P26" i="66"/>
  <c r="N26" i="66"/>
  <c r="L26" i="66"/>
  <c r="J26" i="66"/>
  <c r="H26" i="66"/>
  <c r="F26" i="66"/>
  <c r="D26" i="66"/>
  <c r="B26" i="66"/>
  <c r="O25" i="66"/>
  <c r="K25" i="66"/>
  <c r="G25" i="66"/>
  <c r="C25" i="66"/>
  <c r="P24" i="66"/>
  <c r="N24" i="66"/>
  <c r="L24" i="66"/>
  <c r="J24" i="66"/>
  <c r="H24" i="66"/>
  <c r="F24" i="66"/>
  <c r="D24" i="66"/>
  <c r="B24" i="66"/>
  <c r="O23" i="66"/>
  <c r="K23" i="66"/>
  <c r="G23" i="66"/>
  <c r="C23" i="66"/>
  <c r="P22" i="66"/>
  <c r="N22" i="66"/>
  <c r="L22" i="66"/>
  <c r="J22" i="66"/>
  <c r="H22" i="66"/>
  <c r="F22" i="66"/>
  <c r="D22" i="66"/>
  <c r="B22" i="66"/>
  <c r="O21" i="66"/>
  <c r="K21" i="66"/>
  <c r="G21" i="66"/>
  <c r="C21" i="66"/>
  <c r="P20" i="66"/>
  <c r="N20" i="66"/>
  <c r="L20" i="66"/>
  <c r="J20" i="66"/>
  <c r="H20" i="66"/>
  <c r="F20" i="66"/>
  <c r="D20" i="66"/>
  <c r="B20" i="66"/>
  <c r="O19" i="66"/>
  <c r="K19" i="66"/>
  <c r="G19" i="66"/>
  <c r="C19" i="66"/>
  <c r="P18" i="66"/>
  <c r="N18" i="66"/>
  <c r="L18" i="66"/>
  <c r="J18" i="66"/>
  <c r="H18" i="66"/>
  <c r="F18" i="66"/>
  <c r="D18" i="66"/>
  <c r="B18" i="66"/>
  <c r="O17" i="66"/>
  <c r="K17" i="66"/>
  <c r="G17" i="66"/>
  <c r="C17" i="66"/>
  <c r="P16" i="66"/>
  <c r="N16" i="66"/>
  <c r="L16" i="66"/>
  <c r="J16" i="66"/>
  <c r="H16" i="66"/>
  <c r="F16" i="66"/>
  <c r="D16" i="66"/>
  <c r="B16" i="66"/>
  <c r="O15" i="66"/>
  <c r="K15" i="66"/>
  <c r="G15" i="66"/>
  <c r="C15" i="66"/>
  <c r="P14" i="66"/>
  <c r="N14" i="66"/>
  <c r="L14" i="66"/>
  <c r="J14" i="66"/>
  <c r="H14" i="66"/>
  <c r="F14" i="66"/>
  <c r="D14" i="66"/>
  <c r="B14" i="66"/>
  <c r="O13" i="66"/>
  <c r="K13" i="66"/>
  <c r="G13" i="66"/>
  <c r="C13" i="66"/>
  <c r="P12" i="66"/>
  <c r="N12" i="66"/>
  <c r="L12" i="66"/>
  <c r="J12" i="66"/>
  <c r="H12" i="66"/>
  <c r="F12" i="66"/>
  <c r="D12" i="66"/>
  <c r="B12" i="66"/>
  <c r="O11" i="66"/>
  <c r="K11" i="66"/>
  <c r="G11" i="66"/>
  <c r="C11" i="66"/>
  <c r="P10" i="66"/>
  <c r="N10" i="66"/>
  <c r="L10" i="66"/>
  <c r="J10" i="66"/>
  <c r="H10" i="66"/>
  <c r="F10" i="66"/>
  <c r="D10" i="66"/>
  <c r="B10" i="66"/>
  <c r="O9" i="66"/>
  <c r="K9" i="66"/>
  <c r="G9" i="66"/>
  <c r="C9" i="66"/>
  <c r="P8" i="66"/>
  <c r="N8" i="66"/>
  <c r="L8" i="66"/>
  <c r="J8" i="66"/>
  <c r="H8" i="66"/>
  <c r="F8" i="66"/>
  <c r="D8" i="66"/>
  <c r="B8" i="66"/>
  <c r="O7" i="66"/>
  <c r="K7" i="66"/>
  <c r="G7" i="66"/>
  <c r="C7" i="66"/>
  <c r="P6" i="66"/>
  <c r="N6" i="66"/>
  <c r="L6" i="66"/>
  <c r="J6" i="66"/>
  <c r="H6" i="66"/>
  <c r="F6" i="66"/>
  <c r="D6" i="66"/>
  <c r="B6" i="66"/>
  <c r="O5" i="66"/>
  <c r="K5" i="66"/>
  <c r="G5" i="66"/>
  <c r="C5" i="66"/>
  <c r="P4" i="66"/>
  <c r="N4" i="66"/>
  <c r="L4" i="66"/>
  <c r="J4" i="66"/>
  <c r="H4" i="66"/>
  <c r="F4" i="66"/>
  <c r="D4" i="66"/>
  <c r="B4" i="66"/>
  <c r="O3" i="66"/>
  <c r="K3" i="66"/>
  <c r="G3" i="66"/>
  <c r="C3" i="66"/>
  <c r="P2" i="66"/>
  <c r="N2" i="66"/>
  <c r="L2" i="66"/>
  <c r="J2" i="66"/>
  <c r="H2" i="66"/>
  <c r="F2" i="66"/>
  <c r="D2" i="66"/>
  <c r="B2" i="66"/>
  <c r="O1" i="66"/>
  <c r="K1" i="66"/>
  <c r="G1" i="66"/>
  <c r="C1" i="66"/>
  <c r="J28" i="65"/>
  <c r="F28" i="65"/>
  <c r="B28" i="65"/>
  <c r="C26" i="65"/>
  <c r="J25" i="65"/>
  <c r="F25" i="65"/>
  <c r="B25" i="65"/>
  <c r="K23" i="65"/>
  <c r="G23" i="65"/>
  <c r="C23" i="65"/>
  <c r="J22" i="65"/>
  <c r="F22" i="65"/>
  <c r="B22" i="65"/>
  <c r="K20" i="65"/>
  <c r="G20" i="65"/>
  <c r="C20" i="65"/>
  <c r="R19" i="65"/>
  <c r="N19" i="65"/>
  <c r="J19" i="65"/>
  <c r="F19" i="65"/>
  <c r="B19" i="65"/>
  <c r="K17" i="65"/>
  <c r="G17" i="65"/>
  <c r="C17" i="65"/>
  <c r="V16" i="65"/>
  <c r="R16" i="65"/>
  <c r="N16" i="65"/>
  <c r="J16" i="65"/>
  <c r="F16" i="65"/>
  <c r="B16" i="65"/>
  <c r="K14" i="65"/>
  <c r="G14" i="65"/>
  <c r="C14" i="65"/>
  <c r="V13" i="65"/>
  <c r="R13" i="65"/>
  <c r="N13" i="65"/>
  <c r="J13" i="65"/>
  <c r="F13" i="65"/>
  <c r="B13" i="65"/>
  <c r="K11" i="65"/>
  <c r="G11" i="65"/>
  <c r="C11" i="65"/>
  <c r="V10" i="65"/>
  <c r="R10" i="65"/>
  <c r="N10" i="65"/>
  <c r="J10" i="65"/>
  <c r="F10" i="65"/>
  <c r="B10" i="65"/>
  <c r="K8" i="65"/>
  <c r="G8" i="65"/>
  <c r="C8" i="65"/>
  <c r="V7" i="65"/>
  <c r="R7" i="65"/>
  <c r="N7" i="65"/>
  <c r="J7" i="65"/>
  <c r="F7" i="65"/>
  <c r="B7" i="65"/>
  <c r="K5" i="65"/>
  <c r="G5" i="65"/>
  <c r="C5" i="65"/>
  <c r="V4" i="65"/>
  <c r="R4" i="65"/>
  <c r="N4" i="65"/>
  <c r="J4" i="65"/>
  <c r="F4" i="65"/>
  <c r="B4" i="65"/>
  <c r="K2" i="65"/>
  <c r="G2" i="65"/>
  <c r="C2" i="65"/>
  <c r="V1" i="65"/>
  <c r="R1" i="65"/>
  <c r="N1" i="65"/>
  <c r="J1" i="65"/>
  <c r="F1" i="65"/>
  <c r="B1" i="65"/>
  <c r="B33" i="58" l="1"/>
  <c r="B26" i="59"/>
  <c r="B30" i="59"/>
  <c r="B17" i="58"/>
  <c r="B21" i="58"/>
  <c r="B25" i="58"/>
  <c r="B18" i="59"/>
  <c r="B34" i="59"/>
  <c r="B37" i="58"/>
  <c r="B29" i="58"/>
  <c r="B22" i="59"/>
  <c r="B38" i="59"/>
  <c r="B19" i="59"/>
  <c r="B23" i="59"/>
  <c r="B27" i="59"/>
  <c r="B31" i="59"/>
  <c r="B35" i="59"/>
  <c r="B39" i="59"/>
  <c r="B20" i="59"/>
  <c r="B24" i="59"/>
  <c r="B28" i="59"/>
  <c r="B32" i="59"/>
  <c r="B36" i="59"/>
  <c r="B40" i="59"/>
  <c r="B17" i="59"/>
  <c r="B21" i="59"/>
  <c r="B25" i="59"/>
  <c r="B29" i="59"/>
  <c r="B33" i="59"/>
  <c r="B37" i="59"/>
  <c r="B18" i="58"/>
  <c r="B22" i="58"/>
  <c r="B26" i="58"/>
  <c r="B30" i="58"/>
  <c r="B34" i="58"/>
  <c r="B38" i="58"/>
  <c r="B19" i="58"/>
  <c r="B23" i="58"/>
  <c r="B27" i="58"/>
  <c r="B31" i="58"/>
  <c r="B35" i="58"/>
  <c r="B39" i="58"/>
  <c r="B16" i="58"/>
  <c r="B20" i="58"/>
  <c r="B24" i="58"/>
  <c r="B28" i="58"/>
  <c r="B32" i="58"/>
  <c r="B36" i="58"/>
  <c r="X3" i="65" l="1"/>
  <c r="AD11" i="66"/>
  <c r="V11" i="66"/>
  <c r="Z11" i="66"/>
  <c r="V19" i="66"/>
  <c r="T9" i="65"/>
  <c r="R19" i="66"/>
  <c r="Z19" i="66"/>
  <c r="X9" i="65"/>
  <c r="V21" i="66"/>
  <c r="AD19" i="66"/>
  <c r="R21" i="66"/>
  <c r="P12" i="65"/>
  <c r="AD21" i="66"/>
  <c r="R23" i="66"/>
  <c r="Z21" i="66"/>
  <c r="AD23" i="66"/>
  <c r="V23" i="66"/>
  <c r="Z23" i="66"/>
  <c r="T12" i="65"/>
  <c r="AD33" i="66"/>
  <c r="R35" i="66"/>
  <c r="X18" i="65"/>
  <c r="Z33" i="66"/>
  <c r="AD35" i="66"/>
  <c r="V35" i="66"/>
  <c r="Z35" i="66"/>
  <c r="P21" i="65"/>
  <c r="D30" i="65"/>
  <c r="AD3" i="66"/>
  <c r="Z3" i="66"/>
  <c r="R5" i="66"/>
  <c r="V7" i="66"/>
  <c r="R7" i="66"/>
  <c r="L30" i="65"/>
  <c r="Z7" i="66"/>
  <c r="AD9" i="66"/>
  <c r="T3" i="65"/>
  <c r="R11" i="66"/>
  <c r="Z9" i="66"/>
  <c r="V15" i="66"/>
  <c r="AD13" i="66"/>
  <c r="R15" i="66"/>
  <c r="T6" i="65"/>
  <c r="V37" i="66"/>
  <c r="T21" i="65"/>
  <c r="R37" i="66"/>
  <c r="Z37" i="66"/>
  <c r="AD27" i="66"/>
  <c r="T15" i="65"/>
  <c r="Z27" i="66"/>
  <c r="R29" i="66"/>
  <c r="V1" i="66"/>
  <c r="H27" i="65"/>
  <c r="R1" i="66"/>
  <c r="Z1" i="66"/>
  <c r="V3" i="66"/>
  <c r="AD1" i="66"/>
  <c r="R3" i="66"/>
  <c r="L27" i="65"/>
  <c r="AD5" i="66"/>
  <c r="V5" i="66"/>
  <c r="H30" i="65"/>
  <c r="Z5" i="66"/>
  <c r="V9" i="66"/>
  <c r="AD7" i="66"/>
  <c r="R9" i="66"/>
  <c r="P3" i="65"/>
  <c r="P6" i="65"/>
  <c r="V13" i="66"/>
  <c r="R13" i="66"/>
  <c r="Z13" i="66"/>
  <c r="AD15" i="66"/>
  <c r="Z15" i="66"/>
  <c r="R17" i="66"/>
  <c r="X6" i="65"/>
  <c r="AD17" i="66"/>
  <c r="V17" i="66"/>
  <c r="P9" i="65"/>
  <c r="Z17" i="66"/>
  <c r="V25" i="66"/>
  <c r="X12" i="65"/>
  <c r="R25" i="66"/>
  <c r="Z25" i="66"/>
  <c r="V27" i="66"/>
  <c r="AD25" i="66"/>
  <c r="R27" i="66"/>
  <c r="P15" i="65"/>
  <c r="X15" i="65"/>
  <c r="AD29" i="66"/>
  <c r="V29" i="66"/>
  <c r="Z29" i="66"/>
  <c r="P18" i="65"/>
  <c r="V31" i="66"/>
  <c r="R31" i="66"/>
  <c r="Z31" i="66"/>
  <c r="V33" i="66"/>
  <c r="AD31" i="66"/>
  <c r="T18" i="65"/>
  <c r="R33" i="66"/>
  <c r="C42" i="59"/>
  <c r="M3" i="59"/>
  <c r="C41" i="58"/>
  <c r="N3" i="58"/>
  <c r="AA2" i="67"/>
  <c r="O40" i="52"/>
  <c r="O39" i="52"/>
  <c r="O38" i="52"/>
  <c r="O37" i="52"/>
  <c r="O36" i="52"/>
  <c r="O35" i="52"/>
  <c r="O34" i="52"/>
  <c r="O33" i="52"/>
  <c r="O32" i="52"/>
  <c r="O31" i="52"/>
  <c r="O30" i="52"/>
  <c r="O29" i="52"/>
  <c r="O28" i="52"/>
  <c r="O27" i="52"/>
  <c r="O26" i="52"/>
  <c r="O25" i="52"/>
  <c r="O24" i="52"/>
  <c r="O23" i="52"/>
  <c r="O18" i="52"/>
  <c r="O17" i="52"/>
  <c r="O16" i="52"/>
  <c r="P22" i="59" l="1"/>
  <c r="O21" i="58"/>
  <c r="P23" i="59"/>
  <c r="O22" i="58"/>
  <c r="P27" i="59"/>
  <c r="O26" i="58"/>
  <c r="P31" i="59"/>
  <c r="O30" i="58"/>
  <c r="P39" i="59"/>
  <c r="O38" i="58"/>
  <c r="O27" i="58"/>
  <c r="P28" i="59"/>
  <c r="O39" i="58"/>
  <c r="P40" i="59"/>
  <c r="P35" i="59"/>
  <c r="O34" i="58"/>
  <c r="O19" i="58"/>
  <c r="P20" i="59"/>
  <c r="O23" i="58"/>
  <c r="P24" i="59"/>
  <c r="O31" i="58"/>
  <c r="P32" i="59"/>
  <c r="O35" i="58"/>
  <c r="P36" i="59"/>
  <c r="O20" i="58"/>
  <c r="P21" i="59"/>
  <c r="O24" i="58"/>
  <c r="P25" i="59"/>
  <c r="P29" i="59"/>
  <c r="O28" i="58"/>
  <c r="O32" i="58"/>
  <c r="P33" i="59"/>
  <c r="P37" i="59"/>
  <c r="O36" i="58"/>
  <c r="O40" i="58"/>
  <c r="P41" i="59"/>
  <c r="P26" i="59"/>
  <c r="O25" i="58"/>
  <c r="P30" i="59"/>
  <c r="O29" i="58"/>
  <c r="P34" i="59"/>
  <c r="O33" i="58"/>
  <c r="P38" i="59"/>
  <c r="O37" i="58"/>
  <c r="K4" i="68"/>
  <c r="BG4" i="68"/>
  <c r="BW4" i="68"/>
  <c r="AA28" i="68"/>
  <c r="T16" i="68"/>
  <c r="AA4" i="68"/>
  <c r="B27" i="70"/>
  <c r="Q2" i="71"/>
  <c r="B22" i="70"/>
  <c r="B25" i="70"/>
  <c r="AQ52" i="68"/>
  <c r="AZ40" i="68"/>
  <c r="BW28" i="68"/>
  <c r="B29" i="70"/>
  <c r="B36" i="70"/>
  <c r="BP52" i="68"/>
  <c r="D52" i="68"/>
  <c r="AA40" i="68"/>
  <c r="D28" i="68"/>
  <c r="AA16" i="68"/>
  <c r="AJ4" i="68"/>
  <c r="AZ28" i="68"/>
  <c r="AQ4" i="68"/>
  <c r="B21" i="70"/>
  <c r="BG40" i="68"/>
  <c r="BP4" i="68"/>
  <c r="K28" i="68"/>
  <c r="B15" i="70"/>
  <c r="AQ40" i="68"/>
  <c r="B24" i="70"/>
  <c r="BP16" i="68"/>
  <c r="BP28" i="68"/>
  <c r="B23" i="70"/>
  <c r="B34" i="70"/>
  <c r="B18" i="70"/>
  <c r="B12" i="70"/>
  <c r="AA52" i="68"/>
  <c r="AJ40" i="68"/>
  <c r="BG28" i="68"/>
  <c r="B16" i="70"/>
  <c r="B33" i="70"/>
  <c r="AZ52" i="68"/>
  <c r="BW40" i="68"/>
  <c r="K40" i="68"/>
  <c r="BW16" i="68"/>
  <c r="K16" i="68"/>
  <c r="T4" i="68"/>
  <c r="AZ16" i="68"/>
  <c r="AJ16" i="68"/>
  <c r="B35" i="70"/>
  <c r="B19" i="70"/>
  <c r="B30" i="70"/>
  <c r="B14" i="70"/>
  <c r="BW52" i="68"/>
  <c r="K52" i="68"/>
  <c r="T40" i="68"/>
  <c r="AQ28" i="68"/>
  <c r="B13" i="70"/>
  <c r="B20" i="70"/>
  <c r="AJ52" i="68"/>
  <c r="AJ28" i="68"/>
  <c r="BG16" i="68"/>
  <c r="D4" i="68"/>
  <c r="D16" i="68"/>
  <c r="B31" i="70"/>
  <c r="B26" i="70"/>
  <c r="B28" i="70"/>
  <c r="BG52" i="68"/>
  <c r="BP40" i="68"/>
  <c r="D40" i="68"/>
  <c r="B32" i="70"/>
  <c r="B17" i="70"/>
  <c r="T52" i="68"/>
  <c r="T28" i="68"/>
  <c r="AQ16" i="68"/>
  <c r="AZ4" i="68"/>
  <c r="P2" i="69"/>
  <c r="P19" i="59"/>
  <c r="O18" i="58"/>
  <c r="P18" i="59"/>
  <c r="O17" i="58"/>
  <c r="P17" i="59"/>
  <c r="O16" i="58"/>
  <c r="Q2" i="59"/>
  <c r="L25" i="65"/>
  <c r="D25" i="65"/>
  <c r="P19" i="65"/>
  <c r="H19" i="65"/>
  <c r="T13" i="65"/>
  <c r="L13" i="65"/>
  <c r="D13" i="65"/>
  <c r="X7" i="65"/>
  <c r="P7" i="65"/>
  <c r="H7" i="65"/>
  <c r="T1" i="65"/>
  <c r="L1" i="65"/>
  <c r="D1" i="65"/>
  <c r="T16" i="65"/>
  <c r="P10" i="65"/>
  <c r="H10" i="65"/>
  <c r="T4" i="65"/>
  <c r="D4" i="65"/>
  <c r="L28" i="65"/>
  <c r="D28" i="65"/>
  <c r="L22" i="65"/>
  <c r="D22" i="65"/>
  <c r="L16" i="65"/>
  <c r="D16" i="65"/>
  <c r="X10" i="65"/>
  <c r="L4" i="65"/>
  <c r="H25" i="65"/>
  <c r="T19" i="65"/>
  <c r="L19" i="65"/>
  <c r="D19" i="65"/>
  <c r="X13" i="65"/>
  <c r="P13" i="65"/>
  <c r="H13" i="65"/>
  <c r="T7" i="65"/>
  <c r="L7" i="65"/>
  <c r="D7" i="65"/>
  <c r="X1" i="65"/>
  <c r="P1" i="65"/>
  <c r="H1" i="65"/>
  <c r="H28" i="65"/>
  <c r="H22" i="65"/>
  <c r="X16" i="65"/>
  <c r="P16" i="65"/>
  <c r="H16" i="65"/>
  <c r="T10" i="65"/>
  <c r="L10" i="65"/>
  <c r="D10" i="65"/>
  <c r="X4" i="65"/>
  <c r="P4" i="65"/>
  <c r="H4" i="65"/>
  <c r="E43" i="58"/>
  <c r="B21" i="56"/>
  <c r="B20" i="56"/>
  <c r="B19" i="56"/>
  <c r="B17" i="56"/>
  <c r="B15" i="56"/>
  <c r="B14" i="56"/>
  <c r="B23" i="56"/>
  <c r="B13" i="56"/>
  <c r="N36" i="54" l="1"/>
  <c r="M36" i="54"/>
  <c r="L36" i="54"/>
  <c r="K36" i="54"/>
  <c r="H36" i="54"/>
  <c r="D36" i="54" s="1"/>
  <c r="G36" i="54"/>
  <c r="B36" i="54"/>
  <c r="N35" i="54"/>
  <c r="M35" i="54"/>
  <c r="L35" i="54"/>
  <c r="K35" i="54"/>
  <c r="H35" i="54"/>
  <c r="D35" i="54" s="1"/>
  <c r="G35" i="54"/>
  <c r="B35" i="54"/>
  <c r="N34" i="54"/>
  <c r="M34" i="54"/>
  <c r="L34" i="54"/>
  <c r="K34" i="54"/>
  <c r="H34" i="54"/>
  <c r="D34" i="54" s="1"/>
  <c r="G34" i="54"/>
  <c r="B34" i="54"/>
  <c r="N33" i="54"/>
  <c r="M33" i="54"/>
  <c r="L33" i="54"/>
  <c r="K33" i="54"/>
  <c r="H33" i="54"/>
  <c r="D33" i="54" s="1"/>
  <c r="G33" i="54"/>
  <c r="B33" i="54"/>
  <c r="N32" i="54"/>
  <c r="M32" i="54"/>
  <c r="L32" i="54"/>
  <c r="K32" i="54"/>
  <c r="H32" i="54"/>
  <c r="D32" i="54" s="1"/>
  <c r="G32" i="54"/>
  <c r="B32" i="54"/>
  <c r="N31" i="54"/>
  <c r="M31" i="54"/>
  <c r="L31" i="54"/>
  <c r="K31" i="54"/>
  <c r="H31" i="54"/>
  <c r="D31" i="54" s="1"/>
  <c r="G31" i="54"/>
  <c r="B31" i="54"/>
  <c r="N30" i="54"/>
  <c r="M30" i="54"/>
  <c r="L30" i="54"/>
  <c r="K30" i="54"/>
  <c r="H30" i="54"/>
  <c r="D30" i="54" s="1"/>
  <c r="G30" i="54"/>
  <c r="B30" i="54"/>
  <c r="N29" i="54"/>
  <c r="M29" i="54"/>
  <c r="L29" i="54"/>
  <c r="K29" i="54"/>
  <c r="H29" i="54"/>
  <c r="D29" i="54" s="1"/>
  <c r="G29" i="54"/>
  <c r="B29" i="54"/>
  <c r="N28" i="54"/>
  <c r="M28" i="54"/>
  <c r="L28" i="54"/>
  <c r="K28" i="54"/>
  <c r="H28" i="54"/>
  <c r="D28" i="54" s="1"/>
  <c r="G28" i="54"/>
  <c r="B28" i="54"/>
  <c r="N27" i="54"/>
  <c r="M27" i="54"/>
  <c r="L27" i="54"/>
  <c r="K27" i="54"/>
  <c r="H27" i="54"/>
  <c r="D27" i="54" s="1"/>
  <c r="G27" i="54"/>
  <c r="B27" i="54"/>
  <c r="N26" i="54"/>
  <c r="M26" i="54"/>
  <c r="L26" i="54"/>
  <c r="K26" i="54"/>
  <c r="H26" i="54"/>
  <c r="D26" i="54" s="1"/>
  <c r="G26" i="54"/>
  <c r="B26" i="54"/>
  <c r="N25" i="54"/>
  <c r="M25" i="54"/>
  <c r="L25" i="54"/>
  <c r="K25" i="54"/>
  <c r="H25" i="54"/>
  <c r="D25" i="54" s="1"/>
  <c r="G25" i="54"/>
  <c r="B25" i="54"/>
  <c r="N24" i="54"/>
  <c r="M24" i="54"/>
  <c r="L24" i="54"/>
  <c r="K24" i="54"/>
  <c r="H24" i="54"/>
  <c r="D24" i="54" s="1"/>
  <c r="G24" i="54"/>
  <c r="B24" i="54"/>
  <c r="N23" i="54"/>
  <c r="M23" i="54"/>
  <c r="L23" i="54"/>
  <c r="K23" i="54"/>
  <c r="H23" i="54"/>
  <c r="D23" i="54" s="1"/>
  <c r="G23" i="54"/>
  <c r="B23" i="54"/>
  <c r="N22" i="54"/>
  <c r="M22" i="54"/>
  <c r="L22" i="54"/>
  <c r="K22" i="54"/>
  <c r="H22" i="54"/>
  <c r="D22" i="54" s="1"/>
  <c r="G22" i="54"/>
  <c r="B22" i="54"/>
  <c r="N21" i="54"/>
  <c r="M21" i="54"/>
  <c r="L21" i="54"/>
  <c r="K21" i="54"/>
  <c r="H21" i="54"/>
  <c r="D21" i="54" s="1"/>
  <c r="G21" i="54"/>
  <c r="B21" i="54"/>
  <c r="N20" i="54"/>
  <c r="M20" i="54"/>
  <c r="L20" i="54"/>
  <c r="K20" i="54"/>
  <c r="H20" i="54"/>
  <c r="D20" i="54" s="1"/>
  <c r="G20" i="54"/>
  <c r="B20" i="54"/>
  <c r="N19" i="54"/>
  <c r="M19" i="54"/>
  <c r="L19" i="54"/>
  <c r="K19" i="54"/>
  <c r="H19" i="54"/>
  <c r="D19" i="54" s="1"/>
  <c r="G19" i="54"/>
  <c r="B19" i="54"/>
  <c r="N18" i="54"/>
  <c r="M18" i="54"/>
  <c r="L18" i="54"/>
  <c r="K18" i="54"/>
  <c r="H18" i="54"/>
  <c r="D18" i="54" s="1"/>
  <c r="G18" i="54"/>
  <c r="B18" i="54"/>
  <c r="N17" i="54"/>
  <c r="M17" i="54"/>
  <c r="L17" i="54"/>
  <c r="K17" i="54"/>
  <c r="H17" i="54"/>
  <c r="D17" i="54" s="1"/>
  <c r="G17" i="54"/>
  <c r="B17" i="54"/>
  <c r="N16" i="54"/>
  <c r="M16" i="54"/>
  <c r="L16" i="54"/>
  <c r="K16" i="54"/>
  <c r="H16" i="54"/>
  <c r="D16" i="54" s="1"/>
  <c r="G16" i="54"/>
  <c r="B16" i="54"/>
  <c r="N15" i="54"/>
  <c r="M15" i="54"/>
  <c r="L15" i="54"/>
  <c r="K15" i="54"/>
  <c r="H15" i="54"/>
  <c r="D15" i="54" s="1"/>
  <c r="G15" i="54"/>
  <c r="B15" i="54"/>
  <c r="N14" i="54"/>
  <c r="M14" i="54"/>
  <c r="L14" i="54"/>
  <c r="K14" i="54"/>
  <c r="H14" i="54"/>
  <c r="D14" i="54" s="1"/>
  <c r="G14" i="54"/>
  <c r="B14" i="54"/>
  <c r="N13" i="54"/>
  <c r="M13" i="54"/>
  <c r="L13" i="54"/>
  <c r="K13" i="54"/>
  <c r="H13" i="54"/>
  <c r="D13" i="54" s="1"/>
  <c r="G13" i="54"/>
  <c r="B13" i="54"/>
  <c r="N12" i="54"/>
  <c r="M12" i="54"/>
  <c r="L12" i="54"/>
  <c r="K12" i="54"/>
  <c r="H12" i="54"/>
  <c r="G12" i="54"/>
  <c r="B12" i="54"/>
  <c r="F8" i="54"/>
  <c r="BT61" i="53"/>
  <c r="BD61" i="53"/>
  <c r="AN61" i="53"/>
  <c r="X61" i="53"/>
  <c r="H61" i="53"/>
  <c r="BT60" i="53"/>
  <c r="BD60" i="53"/>
  <c r="AN60" i="53"/>
  <c r="X60" i="53"/>
  <c r="H60" i="53"/>
  <c r="BT59" i="53"/>
  <c r="BO59" i="53"/>
  <c r="BD59" i="53"/>
  <c r="AY59" i="53"/>
  <c r="AN59" i="53"/>
  <c r="AI59" i="53"/>
  <c r="X59" i="53"/>
  <c r="S59" i="53"/>
  <c r="H59" i="53"/>
  <c r="C59" i="53"/>
  <c r="BT58" i="53"/>
  <c r="BP58" i="53"/>
  <c r="BD58" i="53"/>
  <c r="AZ58" i="53"/>
  <c r="AN58" i="53"/>
  <c r="AJ58" i="53"/>
  <c r="X58" i="53"/>
  <c r="T58" i="53"/>
  <c r="H58" i="53"/>
  <c r="D58" i="53"/>
  <c r="BX57" i="53"/>
  <c r="BP57" i="53"/>
  <c r="BH57" i="53"/>
  <c r="AZ57" i="53"/>
  <c r="AR57" i="53"/>
  <c r="AJ57" i="53"/>
  <c r="AB57" i="53"/>
  <c r="T57" i="53"/>
  <c r="L57" i="53"/>
  <c r="D57" i="53"/>
  <c r="BT56" i="53"/>
  <c r="CA56" i="53" s="1"/>
  <c r="BR56" i="53"/>
  <c r="BY57" i="53" s="1"/>
  <c r="BP56" i="53"/>
  <c r="BW57" i="53" s="1"/>
  <c r="BO56" i="53"/>
  <c r="BW62" i="53" s="1"/>
  <c r="BY62" i="53" s="1"/>
  <c r="BD56" i="53"/>
  <c r="BK56" i="53" s="1"/>
  <c r="BB56" i="53"/>
  <c r="AZ56" i="53"/>
  <c r="BG57" i="53" s="1"/>
  <c r="AY56" i="53"/>
  <c r="AZ62" i="53" s="1"/>
  <c r="AN56" i="53"/>
  <c r="AU56" i="53" s="1"/>
  <c r="AL56" i="53"/>
  <c r="AS57" i="53" s="1"/>
  <c r="AJ56" i="53"/>
  <c r="AQ57" i="53" s="1"/>
  <c r="AI56" i="53"/>
  <c r="X56" i="53"/>
  <c r="AE56" i="53" s="1"/>
  <c r="V56" i="53"/>
  <c r="T61" i="53" s="1"/>
  <c r="AA61" i="53" s="1"/>
  <c r="T56" i="53"/>
  <c r="T62" i="53" s="1"/>
  <c r="S56" i="53"/>
  <c r="H56" i="53"/>
  <c r="O56" i="53" s="1"/>
  <c r="F56" i="53"/>
  <c r="M57" i="53" s="1"/>
  <c r="D56" i="53"/>
  <c r="K57" i="53" s="1"/>
  <c r="C56" i="53"/>
  <c r="K62" i="53" s="1"/>
  <c r="M62" i="53" s="1"/>
  <c r="BT55" i="53"/>
  <c r="CA55" i="53" s="1"/>
  <c r="BP55" i="53"/>
  <c r="BW55" i="53" s="1"/>
  <c r="BD55" i="53"/>
  <c r="BK55" i="53" s="1"/>
  <c r="AZ55" i="53"/>
  <c r="BG55" i="53" s="1"/>
  <c r="AN55" i="53"/>
  <c r="AU55" i="53" s="1"/>
  <c r="AJ55" i="53"/>
  <c r="AQ55" i="53" s="1"/>
  <c r="X55" i="53"/>
  <c r="AE55" i="53" s="1"/>
  <c r="T55" i="53"/>
  <c r="AA55" i="53" s="1"/>
  <c r="H55" i="53"/>
  <c r="O55" i="53" s="1"/>
  <c r="D55" i="53"/>
  <c r="K55" i="53" s="1"/>
  <c r="BW54" i="53"/>
  <c r="BG54" i="53"/>
  <c r="AQ54" i="53"/>
  <c r="AA54" i="53"/>
  <c r="BW53" i="53"/>
  <c r="BP53" i="53"/>
  <c r="BG53" i="53"/>
  <c r="AZ53" i="53"/>
  <c r="AQ53" i="53"/>
  <c r="AJ53" i="53"/>
  <c r="AA53" i="53"/>
  <c r="T53" i="53"/>
  <c r="K53" i="53"/>
  <c r="D53" i="53"/>
  <c r="BW52" i="53"/>
  <c r="BP52" i="53"/>
  <c r="BG52" i="53"/>
  <c r="AZ52" i="53"/>
  <c r="AQ52" i="53"/>
  <c r="AJ52" i="53"/>
  <c r="AA52" i="53"/>
  <c r="T52" i="53"/>
  <c r="K52" i="53"/>
  <c r="D52" i="53"/>
  <c r="BT49" i="53"/>
  <c r="BD49" i="53"/>
  <c r="AN49" i="53"/>
  <c r="X49" i="53"/>
  <c r="H49" i="53"/>
  <c r="BT48" i="53"/>
  <c r="BD48" i="53"/>
  <c r="AN48" i="53"/>
  <c r="X48" i="53"/>
  <c r="H48" i="53"/>
  <c r="BT47" i="53"/>
  <c r="BO47" i="53"/>
  <c r="BD47" i="53"/>
  <c r="AY47" i="53"/>
  <c r="AN47" i="53"/>
  <c r="AI47" i="53"/>
  <c r="X47" i="53"/>
  <c r="S47" i="53"/>
  <c r="H47" i="53"/>
  <c r="C47" i="53"/>
  <c r="BT46" i="53"/>
  <c r="BP46" i="53"/>
  <c r="BD46" i="53"/>
  <c r="AZ46" i="53"/>
  <c r="AN46" i="53"/>
  <c r="AJ46" i="53"/>
  <c r="X46" i="53"/>
  <c r="T46" i="53"/>
  <c r="H46" i="53"/>
  <c r="D46" i="53"/>
  <c r="BX45" i="53"/>
  <c r="BP45" i="53"/>
  <c r="BH45" i="53"/>
  <c r="AZ45" i="53"/>
  <c r="AR45" i="53"/>
  <c r="AJ45" i="53"/>
  <c r="AB45" i="53"/>
  <c r="T45" i="53"/>
  <c r="L45" i="53"/>
  <c r="D45" i="53"/>
  <c r="BT44" i="53"/>
  <c r="CA44" i="53" s="1"/>
  <c r="BR44" i="53"/>
  <c r="BY45" i="53" s="1"/>
  <c r="BP44" i="53"/>
  <c r="BW45" i="53" s="1"/>
  <c r="BO44" i="53"/>
  <c r="BD44" i="53"/>
  <c r="BK44" i="53" s="1"/>
  <c r="BB44" i="53"/>
  <c r="AZ49" i="53" s="1"/>
  <c r="BG49" i="53" s="1"/>
  <c r="AZ44" i="53"/>
  <c r="BG45" i="53" s="1"/>
  <c r="AY44" i="53"/>
  <c r="AN44" i="53"/>
  <c r="AU44" i="53" s="1"/>
  <c r="AL44" i="53"/>
  <c r="AJ49" i="53" s="1"/>
  <c r="AQ49" i="53" s="1"/>
  <c r="AJ44" i="53"/>
  <c r="AQ45" i="53" s="1"/>
  <c r="AI44" i="53"/>
  <c r="AQ50" i="53" s="1"/>
  <c r="AS50" i="53" s="1"/>
  <c r="X44" i="53"/>
  <c r="AE44" i="53" s="1"/>
  <c r="V44" i="53"/>
  <c r="T44" i="53"/>
  <c r="T50" i="53" s="1"/>
  <c r="S44" i="53"/>
  <c r="H44" i="53"/>
  <c r="O44" i="53" s="1"/>
  <c r="F44" i="53"/>
  <c r="M45" i="53" s="1"/>
  <c r="D44" i="53"/>
  <c r="K45" i="53" s="1"/>
  <c r="C44" i="53"/>
  <c r="D50" i="53" s="1"/>
  <c r="BT43" i="53"/>
  <c r="CA43" i="53" s="1"/>
  <c r="BP43" i="53"/>
  <c r="BW43" i="53" s="1"/>
  <c r="BD43" i="53"/>
  <c r="BK43" i="53" s="1"/>
  <c r="AZ43" i="53"/>
  <c r="BG43" i="53" s="1"/>
  <c r="AN43" i="53"/>
  <c r="AU43" i="53" s="1"/>
  <c r="AJ43" i="53"/>
  <c r="AQ43" i="53" s="1"/>
  <c r="X43" i="53"/>
  <c r="AE43" i="53" s="1"/>
  <c r="T43" i="53"/>
  <c r="AA43" i="53" s="1"/>
  <c r="H43" i="53"/>
  <c r="O43" i="53" s="1"/>
  <c r="D43" i="53"/>
  <c r="K43" i="53" s="1"/>
  <c r="BW42" i="53"/>
  <c r="BG42" i="53"/>
  <c r="AQ42" i="53"/>
  <c r="AA42" i="53"/>
  <c r="BW41" i="53"/>
  <c r="BP41" i="53"/>
  <c r="BG41" i="53"/>
  <c r="AZ41" i="53"/>
  <c r="AQ41" i="53"/>
  <c r="AJ41" i="53"/>
  <c r="AA41" i="53"/>
  <c r="T41" i="53"/>
  <c r="K41" i="53"/>
  <c r="D41" i="53"/>
  <c r="BW40" i="53"/>
  <c r="BP40" i="53"/>
  <c r="BG40" i="53"/>
  <c r="AZ40" i="53"/>
  <c r="AQ40" i="53"/>
  <c r="AJ40" i="53"/>
  <c r="AA40" i="53"/>
  <c r="T40" i="53"/>
  <c r="K40" i="53"/>
  <c r="D40" i="53"/>
  <c r="BT37" i="53"/>
  <c r="BD37" i="53"/>
  <c r="AN37" i="53"/>
  <c r="X37" i="53"/>
  <c r="H37" i="53"/>
  <c r="BT36" i="53"/>
  <c r="BD36" i="53"/>
  <c r="AN36" i="53"/>
  <c r="X36" i="53"/>
  <c r="H36" i="53"/>
  <c r="BT35" i="53"/>
  <c r="BO35" i="53"/>
  <c r="BD35" i="53"/>
  <c r="AY35" i="53"/>
  <c r="AN35" i="53"/>
  <c r="AI35" i="53"/>
  <c r="X35" i="53"/>
  <c r="S35" i="53"/>
  <c r="H35" i="53"/>
  <c r="C35" i="53"/>
  <c r="BT34" i="53"/>
  <c r="BP34" i="53"/>
  <c r="BD34" i="53"/>
  <c r="AZ34" i="53"/>
  <c r="AN34" i="53"/>
  <c r="AJ34" i="53"/>
  <c r="X34" i="53"/>
  <c r="T34" i="53"/>
  <c r="H34" i="53"/>
  <c r="D34" i="53"/>
  <c r="BX33" i="53"/>
  <c r="BP33" i="53"/>
  <c r="BH33" i="53"/>
  <c r="AZ33" i="53"/>
  <c r="AR33" i="53"/>
  <c r="AJ33" i="53"/>
  <c r="AB33" i="53"/>
  <c r="T33" i="53"/>
  <c r="L33" i="53"/>
  <c r="D33" i="53"/>
  <c r="BT32" i="53"/>
  <c r="CA32" i="53" s="1"/>
  <c r="BR32" i="53"/>
  <c r="BY33" i="53" s="1"/>
  <c r="BP32" i="53"/>
  <c r="BW33" i="53" s="1"/>
  <c r="BO32" i="53"/>
  <c r="BW38" i="53" s="1"/>
  <c r="BY38" i="53" s="1"/>
  <c r="BD32" i="53"/>
  <c r="BK32" i="53" s="1"/>
  <c r="BB32" i="53"/>
  <c r="AZ32" i="53"/>
  <c r="BG33" i="53" s="1"/>
  <c r="AY32" i="53"/>
  <c r="AZ38" i="53" s="1"/>
  <c r="AN32" i="53"/>
  <c r="AU32" i="53" s="1"/>
  <c r="AL32" i="53"/>
  <c r="AS33" i="53" s="1"/>
  <c r="AJ32" i="53"/>
  <c r="AQ33" i="53" s="1"/>
  <c r="AI32" i="53"/>
  <c r="X32" i="53"/>
  <c r="AE32" i="53" s="1"/>
  <c r="V32" i="53"/>
  <c r="T37" i="53" s="1"/>
  <c r="AA37" i="53" s="1"/>
  <c r="T32" i="53"/>
  <c r="T38" i="53" s="1"/>
  <c r="S32" i="53"/>
  <c r="H32" i="53"/>
  <c r="O32" i="53" s="1"/>
  <c r="F32" i="53"/>
  <c r="M33" i="53" s="1"/>
  <c r="D32" i="53"/>
  <c r="K33" i="53" s="1"/>
  <c r="C32" i="53"/>
  <c r="K38" i="53" s="1"/>
  <c r="M38" i="53" s="1"/>
  <c r="BT31" i="53"/>
  <c r="CA31" i="53" s="1"/>
  <c r="BP31" i="53"/>
  <c r="BW31" i="53" s="1"/>
  <c r="BD31" i="53"/>
  <c r="BK31" i="53" s="1"/>
  <c r="AZ31" i="53"/>
  <c r="BG31" i="53" s="1"/>
  <c r="AN31" i="53"/>
  <c r="AU31" i="53" s="1"/>
  <c r="AJ31" i="53"/>
  <c r="AQ31" i="53" s="1"/>
  <c r="X31" i="53"/>
  <c r="AE31" i="53" s="1"/>
  <c r="T31" i="53"/>
  <c r="AA31" i="53" s="1"/>
  <c r="H31" i="53"/>
  <c r="O31" i="53" s="1"/>
  <c r="D31" i="53"/>
  <c r="K31" i="53" s="1"/>
  <c r="BW30" i="53"/>
  <c r="BG30" i="53"/>
  <c r="AQ30" i="53"/>
  <c r="AA30" i="53"/>
  <c r="BW29" i="53"/>
  <c r="BP29" i="53"/>
  <c r="BG29" i="53"/>
  <c r="AZ29" i="53"/>
  <c r="AQ29" i="53"/>
  <c r="AJ29" i="53"/>
  <c r="AA29" i="53"/>
  <c r="T29" i="53"/>
  <c r="K29" i="53"/>
  <c r="D29" i="53"/>
  <c r="BW28" i="53"/>
  <c r="BP28" i="53"/>
  <c r="BG28" i="53"/>
  <c r="AZ28" i="53"/>
  <c r="AQ28" i="53"/>
  <c r="AJ28" i="53"/>
  <c r="AA28" i="53"/>
  <c r="T28" i="53"/>
  <c r="K28" i="53"/>
  <c r="D28" i="53"/>
  <c r="BT25" i="53"/>
  <c r="BD25" i="53"/>
  <c r="AN25" i="53"/>
  <c r="X25" i="53"/>
  <c r="H25" i="53"/>
  <c r="BT24" i="53"/>
  <c r="BD24" i="53"/>
  <c r="AN24" i="53"/>
  <c r="X24" i="53"/>
  <c r="H24" i="53"/>
  <c r="BT23" i="53"/>
  <c r="BO23" i="53"/>
  <c r="BD23" i="53"/>
  <c r="AY23" i="53"/>
  <c r="AN23" i="53"/>
  <c r="AI23" i="53"/>
  <c r="X23" i="53"/>
  <c r="S23" i="53"/>
  <c r="H23" i="53"/>
  <c r="C23" i="53"/>
  <c r="BT22" i="53"/>
  <c r="BP22" i="53"/>
  <c r="BD22" i="53"/>
  <c r="AZ22" i="53"/>
  <c r="AN22" i="53"/>
  <c r="AJ22" i="53"/>
  <c r="X22" i="53"/>
  <c r="T22" i="53"/>
  <c r="H22" i="53"/>
  <c r="D22" i="53"/>
  <c r="BX21" i="53"/>
  <c r="BP21" i="53"/>
  <c r="BH21" i="53"/>
  <c r="AZ21" i="53"/>
  <c r="AR21" i="53"/>
  <c r="AJ21" i="53"/>
  <c r="AB21" i="53"/>
  <c r="T21" i="53"/>
  <c r="L21" i="53"/>
  <c r="D21" i="53"/>
  <c r="BT20" i="53"/>
  <c r="CA20" i="53" s="1"/>
  <c r="BR20" i="53"/>
  <c r="BY21" i="53" s="1"/>
  <c r="BP20" i="53"/>
  <c r="BW21" i="53" s="1"/>
  <c r="BO20" i="53"/>
  <c r="BD20" i="53"/>
  <c r="BK20" i="53" s="1"/>
  <c r="BB20" i="53"/>
  <c r="AZ25" i="53" s="1"/>
  <c r="BG25" i="53" s="1"/>
  <c r="AZ20" i="53"/>
  <c r="BG21" i="53" s="1"/>
  <c r="AY20" i="53"/>
  <c r="AN20" i="53"/>
  <c r="AU20" i="53" s="1"/>
  <c r="AL20" i="53"/>
  <c r="AJ25" i="53" s="1"/>
  <c r="AQ25" i="53" s="1"/>
  <c r="AJ20" i="53"/>
  <c r="AQ21" i="53" s="1"/>
  <c r="AI20" i="53"/>
  <c r="AQ26" i="53" s="1"/>
  <c r="X20" i="53"/>
  <c r="AE20" i="53" s="1"/>
  <c r="V20" i="53"/>
  <c r="T20" i="53"/>
  <c r="T26" i="53" s="1"/>
  <c r="S20" i="53"/>
  <c r="AA26" i="53" s="1"/>
  <c r="H20" i="53"/>
  <c r="O20" i="53" s="1"/>
  <c r="F20" i="53"/>
  <c r="M21" i="53" s="1"/>
  <c r="D20" i="53"/>
  <c r="K21" i="53" s="1"/>
  <c r="C20" i="53"/>
  <c r="BT19" i="53"/>
  <c r="CA19" i="53" s="1"/>
  <c r="BP19" i="53"/>
  <c r="BW19" i="53" s="1"/>
  <c r="BD19" i="53"/>
  <c r="BK19" i="53" s="1"/>
  <c r="AZ19" i="53"/>
  <c r="BG19" i="53" s="1"/>
  <c r="AN19" i="53"/>
  <c r="AU19" i="53" s="1"/>
  <c r="AJ19" i="53"/>
  <c r="AQ19" i="53" s="1"/>
  <c r="X19" i="53"/>
  <c r="AE19" i="53" s="1"/>
  <c r="T19" i="53"/>
  <c r="AA19" i="53" s="1"/>
  <c r="H19" i="53"/>
  <c r="O19" i="53" s="1"/>
  <c r="D19" i="53"/>
  <c r="K19" i="53" s="1"/>
  <c r="BW18" i="53"/>
  <c r="BG18" i="53"/>
  <c r="AQ18" i="53"/>
  <c r="AA18" i="53"/>
  <c r="BW17" i="53"/>
  <c r="BP17" i="53"/>
  <c r="BG17" i="53"/>
  <c r="AZ17" i="53"/>
  <c r="AQ17" i="53"/>
  <c r="AJ17" i="53"/>
  <c r="AA17" i="53"/>
  <c r="T17" i="53"/>
  <c r="K17" i="53"/>
  <c r="D17" i="53"/>
  <c r="BW16" i="53"/>
  <c r="BP16" i="53"/>
  <c r="BG16" i="53"/>
  <c r="AZ16" i="53"/>
  <c r="AQ16" i="53"/>
  <c r="AJ16" i="53"/>
  <c r="AA16" i="53"/>
  <c r="T16" i="53"/>
  <c r="K16" i="53"/>
  <c r="D16" i="53"/>
  <c r="BT13" i="53"/>
  <c r="BD13" i="53"/>
  <c r="AN13" i="53"/>
  <c r="X13" i="53"/>
  <c r="H13" i="53"/>
  <c r="BT12" i="53"/>
  <c r="BD12" i="53"/>
  <c r="AN12" i="53"/>
  <c r="X12" i="53"/>
  <c r="H12" i="53"/>
  <c r="BT11" i="53"/>
  <c r="BO11" i="53"/>
  <c r="BD11" i="53"/>
  <c r="AY11" i="53"/>
  <c r="AN11" i="53"/>
  <c r="AI11" i="53"/>
  <c r="X11" i="53"/>
  <c r="S11" i="53"/>
  <c r="H11" i="53"/>
  <c r="C11" i="53"/>
  <c r="BT10" i="53"/>
  <c r="BP10" i="53"/>
  <c r="BD10" i="53"/>
  <c r="AZ10" i="53"/>
  <c r="AN10" i="53"/>
  <c r="AJ10" i="53"/>
  <c r="X10" i="53"/>
  <c r="T10" i="53"/>
  <c r="H10" i="53"/>
  <c r="D10" i="53"/>
  <c r="BX9" i="53"/>
  <c r="BP9" i="53"/>
  <c r="BH9" i="53"/>
  <c r="AZ9" i="53"/>
  <c r="AR9" i="53"/>
  <c r="AJ9" i="53"/>
  <c r="AB9" i="53"/>
  <c r="T9" i="53"/>
  <c r="L9" i="53"/>
  <c r="D9" i="53"/>
  <c r="BT8" i="53"/>
  <c r="CA8" i="53" s="1"/>
  <c r="BR8" i="53"/>
  <c r="BP13" i="53" s="1"/>
  <c r="BW13" i="53" s="1"/>
  <c r="BP8" i="53"/>
  <c r="BW9" i="53" s="1"/>
  <c r="BO8" i="53"/>
  <c r="BD8" i="53"/>
  <c r="BK8" i="53" s="1"/>
  <c r="BB8" i="53"/>
  <c r="AZ13" i="53" s="1"/>
  <c r="BG13" i="53" s="1"/>
  <c r="AZ8" i="53"/>
  <c r="BG9" i="53" s="1"/>
  <c r="AY8" i="53"/>
  <c r="AZ14" i="53" s="1"/>
  <c r="AN8" i="53"/>
  <c r="AU8" i="53" s="1"/>
  <c r="AL8" i="53"/>
  <c r="AS9" i="53" s="1"/>
  <c r="AJ8" i="53"/>
  <c r="AQ9" i="53" s="1"/>
  <c r="AI8" i="53"/>
  <c r="AQ14" i="53" s="1"/>
  <c r="X8" i="53"/>
  <c r="AE8" i="53" s="1"/>
  <c r="V8" i="53"/>
  <c r="T13" i="53" s="1"/>
  <c r="AA13" i="53" s="1"/>
  <c r="T8" i="53"/>
  <c r="T14" i="53" s="1"/>
  <c r="S8" i="53"/>
  <c r="AA14" i="53" s="1"/>
  <c r="H8" i="53"/>
  <c r="O8" i="53" s="1"/>
  <c r="F8" i="53"/>
  <c r="M9" i="53" s="1"/>
  <c r="D8" i="53"/>
  <c r="K9" i="53" s="1"/>
  <c r="C8" i="53"/>
  <c r="BT7" i="53"/>
  <c r="CA7" i="53" s="1"/>
  <c r="BP7" i="53"/>
  <c r="BW7" i="53" s="1"/>
  <c r="BD7" i="53"/>
  <c r="BK7" i="53" s="1"/>
  <c r="AZ7" i="53"/>
  <c r="BG7" i="53" s="1"/>
  <c r="AN7" i="53"/>
  <c r="AU7" i="53" s="1"/>
  <c r="AJ7" i="53"/>
  <c r="AQ7" i="53" s="1"/>
  <c r="X7" i="53"/>
  <c r="AE7" i="53" s="1"/>
  <c r="T7" i="53"/>
  <c r="AA7" i="53" s="1"/>
  <c r="H7" i="53"/>
  <c r="O7" i="53" s="1"/>
  <c r="D7" i="53"/>
  <c r="K7" i="53" s="1"/>
  <c r="BW6" i="53"/>
  <c r="BG6" i="53"/>
  <c r="AQ6" i="53"/>
  <c r="AA6" i="53"/>
  <c r="K6" i="53"/>
  <c r="D6" i="53"/>
  <c r="BW5" i="53"/>
  <c r="BP5" i="53"/>
  <c r="BG5" i="53"/>
  <c r="AZ5" i="53"/>
  <c r="AQ5" i="53"/>
  <c r="AJ5" i="53"/>
  <c r="AA5" i="53"/>
  <c r="T5" i="53"/>
  <c r="K5" i="53"/>
  <c r="D5" i="53"/>
  <c r="BW4" i="53"/>
  <c r="BP4" i="53"/>
  <c r="BG4" i="53"/>
  <c r="AZ4" i="53"/>
  <c r="AQ4" i="53"/>
  <c r="AJ4" i="53"/>
  <c r="AA4" i="53"/>
  <c r="T4" i="53"/>
  <c r="K4" i="53"/>
  <c r="D4" i="53"/>
  <c r="Y46" i="52"/>
  <c r="X46" i="52" s="1"/>
  <c r="C41" i="52"/>
  <c r="AV40" i="52"/>
  <c r="AR40" i="52"/>
  <c r="Z40" i="52"/>
  <c r="X40" i="52"/>
  <c r="W40" i="52"/>
  <c r="V40" i="52"/>
  <c r="S40" i="52"/>
  <c r="R40" i="52"/>
  <c r="T40" i="52" s="1"/>
  <c r="B40" i="52"/>
  <c r="AV39" i="52"/>
  <c r="AR39" i="52"/>
  <c r="Z39" i="52"/>
  <c r="X39" i="52"/>
  <c r="W39" i="52"/>
  <c r="V39" i="52"/>
  <c r="S39" i="52"/>
  <c r="R39" i="52"/>
  <c r="T39" i="52" s="1"/>
  <c r="B39" i="52"/>
  <c r="AV38" i="52"/>
  <c r="AR38" i="52"/>
  <c r="Z38" i="52"/>
  <c r="X38" i="52"/>
  <c r="W38" i="52"/>
  <c r="V38" i="52"/>
  <c r="S38" i="52"/>
  <c r="R38" i="52"/>
  <c r="T38" i="52" s="1"/>
  <c r="B38" i="52"/>
  <c r="AV37" i="52"/>
  <c r="AR37" i="52"/>
  <c r="Z37" i="52"/>
  <c r="X37" i="52"/>
  <c r="W37" i="52"/>
  <c r="V37" i="52"/>
  <c r="S37" i="52"/>
  <c r="R37" i="52"/>
  <c r="T37" i="52" s="1"/>
  <c r="B37" i="52"/>
  <c r="AV36" i="52"/>
  <c r="AR36" i="52"/>
  <c r="Z36" i="52"/>
  <c r="X36" i="52"/>
  <c r="W36" i="52"/>
  <c r="V36" i="52"/>
  <c r="S36" i="52"/>
  <c r="R36" i="52"/>
  <c r="T36" i="52" s="1"/>
  <c r="B36" i="52"/>
  <c r="AV35" i="52"/>
  <c r="AR35" i="52"/>
  <c r="Z35" i="52"/>
  <c r="X35" i="52"/>
  <c r="W35" i="52"/>
  <c r="V35" i="52"/>
  <c r="S35" i="52"/>
  <c r="R35" i="52"/>
  <c r="T35" i="52" s="1"/>
  <c r="B35" i="52"/>
  <c r="AV34" i="52"/>
  <c r="AR34" i="52"/>
  <c r="Z34" i="52"/>
  <c r="X34" i="52"/>
  <c r="W34" i="52"/>
  <c r="V34" i="52"/>
  <c r="S34" i="52"/>
  <c r="R34" i="52"/>
  <c r="T34" i="52" s="1"/>
  <c r="B34" i="52"/>
  <c r="AV33" i="52"/>
  <c r="AR33" i="52"/>
  <c r="Z33" i="52"/>
  <c r="X33" i="52"/>
  <c r="W33" i="52"/>
  <c r="V33" i="52"/>
  <c r="S33" i="52"/>
  <c r="R33" i="52"/>
  <c r="T33" i="52" s="1"/>
  <c r="B33" i="52"/>
  <c r="AV32" i="52"/>
  <c r="AR32" i="52"/>
  <c r="Z32" i="52"/>
  <c r="X32" i="52"/>
  <c r="W32" i="52"/>
  <c r="V32" i="52"/>
  <c r="S32" i="52"/>
  <c r="R32" i="52"/>
  <c r="T32" i="52" s="1"/>
  <c r="B32" i="52"/>
  <c r="AV31" i="52"/>
  <c r="AR31" i="52"/>
  <c r="Z31" i="52"/>
  <c r="X31" i="52"/>
  <c r="W31" i="52"/>
  <c r="V31" i="52"/>
  <c r="S31" i="52"/>
  <c r="R31" i="52"/>
  <c r="T31" i="52" s="1"/>
  <c r="B31" i="52"/>
  <c r="AV30" i="52"/>
  <c r="AR30" i="52"/>
  <c r="Z30" i="52"/>
  <c r="X30" i="52"/>
  <c r="W30" i="52"/>
  <c r="V30" i="52"/>
  <c r="S30" i="52"/>
  <c r="R30" i="52"/>
  <c r="T30" i="52" s="1"/>
  <c r="B30" i="52"/>
  <c r="AV29" i="52"/>
  <c r="AR29" i="52"/>
  <c r="Z29" i="52"/>
  <c r="X29" i="52"/>
  <c r="W29" i="52"/>
  <c r="V29" i="52"/>
  <c r="S29" i="52"/>
  <c r="R29" i="52"/>
  <c r="T29" i="52" s="1"/>
  <c r="B29" i="52"/>
  <c r="AV28" i="52"/>
  <c r="AR28" i="52"/>
  <c r="Z28" i="52"/>
  <c r="X28" i="52"/>
  <c r="W28" i="52"/>
  <c r="V28" i="52"/>
  <c r="S28" i="52"/>
  <c r="R28" i="52"/>
  <c r="T28" i="52" s="1"/>
  <c r="B28" i="52"/>
  <c r="AV27" i="52"/>
  <c r="AR27" i="52"/>
  <c r="Z27" i="52"/>
  <c r="X27" i="52"/>
  <c r="W27" i="52"/>
  <c r="V27" i="52"/>
  <c r="S27" i="52"/>
  <c r="R27" i="52"/>
  <c r="T27" i="52" s="1"/>
  <c r="B27" i="52"/>
  <c r="AV26" i="52"/>
  <c r="AR26" i="52"/>
  <c r="Z26" i="52"/>
  <c r="X26" i="52"/>
  <c r="W26" i="52"/>
  <c r="V26" i="52"/>
  <c r="S26" i="52"/>
  <c r="R26" i="52"/>
  <c r="T26" i="52" s="1"/>
  <c r="B26" i="52"/>
  <c r="AV25" i="52"/>
  <c r="AR25" i="52"/>
  <c r="Z25" i="52"/>
  <c r="X25" i="52"/>
  <c r="W25" i="52"/>
  <c r="V25" i="52"/>
  <c r="S25" i="52"/>
  <c r="R25" i="52"/>
  <c r="T25" i="52" s="1"/>
  <c r="B25" i="52"/>
  <c r="AV24" i="52"/>
  <c r="AR24" i="52"/>
  <c r="Z24" i="52"/>
  <c r="X24" i="52"/>
  <c r="W24" i="52"/>
  <c r="V24" i="52"/>
  <c r="S24" i="52"/>
  <c r="R24" i="52"/>
  <c r="T24" i="52" s="1"/>
  <c r="B24" i="52"/>
  <c r="AV23" i="52"/>
  <c r="AR23" i="52"/>
  <c r="AL23" i="52"/>
  <c r="Z23" i="52"/>
  <c r="X23" i="52"/>
  <c r="W23" i="52"/>
  <c r="V23" i="52"/>
  <c r="S23" i="52"/>
  <c r="R23" i="52"/>
  <c r="T23" i="52" s="1"/>
  <c r="B23" i="52"/>
  <c r="AV22" i="52"/>
  <c r="AR22" i="52"/>
  <c r="Z22" i="52"/>
  <c r="X22" i="52"/>
  <c r="W22" i="52"/>
  <c r="V22" i="52"/>
  <c r="S22" i="52"/>
  <c r="R22" i="52"/>
  <c r="T22" i="52" s="1"/>
  <c r="B22" i="52"/>
  <c r="AV21" i="52"/>
  <c r="AR21" i="52"/>
  <c r="AL21" i="52"/>
  <c r="Z21" i="52"/>
  <c r="X21" i="52"/>
  <c r="W21" i="52"/>
  <c r="V21" i="52"/>
  <c r="S21" i="52"/>
  <c r="R21" i="52"/>
  <c r="T21" i="52" s="1"/>
  <c r="B21" i="52"/>
  <c r="AV20" i="52"/>
  <c r="AR20" i="52"/>
  <c r="Z20" i="52"/>
  <c r="X20" i="52"/>
  <c r="W20" i="52"/>
  <c r="V20" i="52"/>
  <c r="S20" i="52"/>
  <c r="R20" i="52"/>
  <c r="T20" i="52" s="1"/>
  <c r="B20" i="52"/>
  <c r="AV19" i="52"/>
  <c r="AR19" i="52"/>
  <c r="AL19" i="52"/>
  <c r="Z19" i="52"/>
  <c r="X19" i="52"/>
  <c r="W19" i="52"/>
  <c r="V19" i="52"/>
  <c r="S19" i="52"/>
  <c r="R19" i="52"/>
  <c r="T19" i="52" s="1"/>
  <c r="B19" i="52"/>
  <c r="AV18" i="52"/>
  <c r="AR18" i="52"/>
  <c r="Z18" i="52"/>
  <c r="X18" i="52"/>
  <c r="W18" i="52"/>
  <c r="V18" i="52"/>
  <c r="S18" i="52"/>
  <c r="R18" i="52"/>
  <c r="T18" i="52" s="1"/>
  <c r="B18" i="52"/>
  <c r="AV17" i="52"/>
  <c r="AR17" i="52"/>
  <c r="AL17" i="52"/>
  <c r="Z17" i="52"/>
  <c r="X17" i="52"/>
  <c r="W17" i="52"/>
  <c r="V17" i="52"/>
  <c r="S17" i="52"/>
  <c r="R17" i="52"/>
  <c r="T17" i="52" s="1"/>
  <c r="B17" i="52"/>
  <c r="AV16" i="52"/>
  <c r="AR16" i="52"/>
  <c r="Z16" i="52"/>
  <c r="W16" i="52"/>
  <c r="V16" i="52"/>
  <c r="S16" i="52"/>
  <c r="R16" i="52"/>
  <c r="T16" i="52" s="1"/>
  <c r="B16" i="52"/>
  <c r="T9" i="52"/>
  <c r="T8" i="52"/>
  <c r="T7" i="52"/>
  <c r="T5" i="52"/>
  <c r="K3" i="52"/>
  <c r="AS26" i="53" l="1"/>
  <c r="E16" i="54"/>
  <c r="E20" i="54"/>
  <c r="E24" i="54"/>
  <c r="E28" i="54"/>
  <c r="E32" i="54"/>
  <c r="E36" i="54"/>
  <c r="E13" i="54"/>
  <c r="E17" i="54"/>
  <c r="E21" i="54"/>
  <c r="E25" i="54"/>
  <c r="E29" i="54"/>
  <c r="E33" i="54"/>
  <c r="E12" i="54"/>
  <c r="E19" i="54"/>
  <c r="E23" i="54"/>
  <c r="E27" i="54"/>
  <c r="E31" i="54"/>
  <c r="E35" i="54"/>
  <c r="E14" i="54"/>
  <c r="E18" i="54"/>
  <c r="E22" i="54"/>
  <c r="E26" i="54"/>
  <c r="E30" i="54"/>
  <c r="E34" i="54"/>
  <c r="E15" i="54"/>
  <c r="C15" i="54"/>
  <c r="C19" i="54"/>
  <c r="F23" i="54"/>
  <c r="F27" i="54"/>
  <c r="F31" i="54"/>
  <c r="C35" i="54"/>
  <c r="C14" i="54"/>
  <c r="C18" i="54"/>
  <c r="C22" i="54"/>
  <c r="C26" i="54"/>
  <c r="C30" i="54"/>
  <c r="C34" i="54"/>
  <c r="F17" i="54"/>
  <c r="C21" i="54"/>
  <c r="C25" i="54"/>
  <c r="C29" i="54"/>
  <c r="Z41" i="52"/>
  <c r="U20" i="52"/>
  <c r="AA20" i="52" s="1"/>
  <c r="U25" i="52"/>
  <c r="AA25" i="52" s="1"/>
  <c r="U29" i="52"/>
  <c r="AA29" i="52" s="1"/>
  <c r="U33" i="52"/>
  <c r="AA33" i="52" s="1"/>
  <c r="U35" i="52"/>
  <c r="AA35" i="52" s="1"/>
  <c r="U37" i="52"/>
  <c r="AA37" i="52" s="1"/>
  <c r="U39" i="52"/>
  <c r="AA39" i="52" s="1"/>
  <c r="U19" i="52"/>
  <c r="AA19" i="52" s="1"/>
  <c r="AR41" i="52"/>
  <c r="AV41" i="52"/>
  <c r="B5" i="66"/>
  <c r="J3" i="66"/>
  <c r="L3" i="65"/>
  <c r="N3" i="66"/>
  <c r="B3" i="66"/>
  <c r="F3" i="66"/>
  <c r="N1" i="66"/>
  <c r="H3" i="65"/>
  <c r="L12" i="65"/>
  <c r="J17" i="66"/>
  <c r="N17" i="66"/>
  <c r="F17" i="66"/>
  <c r="L24" i="65"/>
  <c r="J35" i="66"/>
  <c r="F35" i="66"/>
  <c r="N35" i="66"/>
  <c r="L18" i="65"/>
  <c r="B27" i="66"/>
  <c r="N25" i="66"/>
  <c r="F27" i="66"/>
  <c r="B33" i="66"/>
  <c r="D24" i="65"/>
  <c r="N31" i="66"/>
  <c r="F33" i="66"/>
  <c r="J5" i="66"/>
  <c r="D6" i="65"/>
  <c r="N5" i="66"/>
  <c r="F5" i="66"/>
  <c r="D9" i="65"/>
  <c r="B11" i="66"/>
  <c r="J9" i="66"/>
  <c r="N9" i="66"/>
  <c r="J11" i="66"/>
  <c r="F11" i="66"/>
  <c r="H9" i="65"/>
  <c r="N11" i="66"/>
  <c r="J7" i="66"/>
  <c r="B7" i="66"/>
  <c r="H6" i="65"/>
  <c r="F7" i="66"/>
  <c r="B15" i="66"/>
  <c r="N13" i="66"/>
  <c r="D12" i="65"/>
  <c r="F15" i="66"/>
  <c r="B21" i="66"/>
  <c r="N19" i="66"/>
  <c r="F21" i="66"/>
  <c r="H15" i="65"/>
  <c r="J23" i="66"/>
  <c r="F23" i="66"/>
  <c r="N23" i="66"/>
  <c r="D18" i="65"/>
  <c r="J29" i="66"/>
  <c r="N29" i="66"/>
  <c r="H21" i="65"/>
  <c r="F29" i="66"/>
  <c r="D3" i="65"/>
  <c r="J1" i="66"/>
  <c r="B1" i="66"/>
  <c r="F1" i="66"/>
  <c r="L6" i="65"/>
  <c r="B9" i="66"/>
  <c r="F9" i="66"/>
  <c r="N7" i="66"/>
  <c r="J13" i="66"/>
  <c r="B13" i="66"/>
  <c r="L9" i="65"/>
  <c r="F13" i="66"/>
  <c r="B17" i="66"/>
  <c r="J15" i="66"/>
  <c r="N15" i="66"/>
  <c r="H12" i="65"/>
  <c r="D15" i="65"/>
  <c r="J19" i="66"/>
  <c r="B19" i="66"/>
  <c r="F19" i="66"/>
  <c r="B23" i="66"/>
  <c r="J21" i="66"/>
  <c r="N21" i="66"/>
  <c r="L15" i="65"/>
  <c r="J25" i="66"/>
  <c r="B25" i="66"/>
  <c r="H18" i="65"/>
  <c r="F25" i="66"/>
  <c r="B29" i="66"/>
  <c r="J27" i="66"/>
  <c r="N27" i="66"/>
  <c r="D21" i="65"/>
  <c r="L21" i="65"/>
  <c r="J31" i="66"/>
  <c r="B31" i="66"/>
  <c r="F31" i="66"/>
  <c r="B35" i="66"/>
  <c r="J33" i="66"/>
  <c r="N33" i="66"/>
  <c r="H24" i="65"/>
  <c r="D27" i="65"/>
  <c r="J37" i="66"/>
  <c r="B37" i="66"/>
  <c r="F37" i="66"/>
  <c r="Y41" i="52"/>
  <c r="U21" i="52"/>
  <c r="AA21" i="52" s="1"/>
  <c r="U26" i="52"/>
  <c r="AA26" i="52" s="1"/>
  <c r="U28" i="52"/>
  <c r="AC26" i="53" s="1"/>
  <c r="U30" i="52"/>
  <c r="AA30" i="52" s="1"/>
  <c r="U36" i="52"/>
  <c r="AA36" i="52" s="1"/>
  <c r="U38" i="52"/>
  <c r="AA38" i="52" s="1"/>
  <c r="U18" i="52"/>
  <c r="AA18" i="52" s="1"/>
  <c r="C13" i="54"/>
  <c r="F33" i="54"/>
  <c r="C27" i="54"/>
  <c r="F34" i="54"/>
  <c r="C17" i="54"/>
  <c r="F18" i="54"/>
  <c r="C23" i="54"/>
  <c r="C31" i="54"/>
  <c r="F21" i="54"/>
  <c r="F22" i="54"/>
  <c r="F35" i="54"/>
  <c r="D49" i="53"/>
  <c r="K49" i="53" s="1"/>
  <c r="F13" i="54"/>
  <c r="X16" i="53"/>
  <c r="AE16" i="53" s="1"/>
  <c r="AJ13" i="53"/>
  <c r="AQ13" i="53" s="1"/>
  <c r="BP26" i="53"/>
  <c r="H40" i="53"/>
  <c r="O40" i="53" s="1"/>
  <c r="H4" i="53"/>
  <c r="O4" i="53" s="1"/>
  <c r="X4" i="53"/>
  <c r="AE4" i="53" s="1"/>
  <c r="X40" i="53"/>
  <c r="AE40" i="53" s="1"/>
  <c r="AN4" i="53"/>
  <c r="AU4" i="53" s="1"/>
  <c r="AN28" i="53"/>
  <c r="AU28" i="53" s="1"/>
  <c r="AN52" i="53"/>
  <c r="AU52" i="53" s="1"/>
  <c r="BD16" i="53"/>
  <c r="BK16" i="53" s="1"/>
  <c r="BD40" i="53"/>
  <c r="BK40" i="53" s="1"/>
  <c r="BT4" i="53"/>
  <c r="CA4" i="53" s="1"/>
  <c r="BT28" i="53"/>
  <c r="CA28" i="53" s="1"/>
  <c r="BT52" i="53"/>
  <c r="CA52" i="53" s="1"/>
  <c r="BP25" i="53"/>
  <c r="BW25" i="53" s="1"/>
  <c r="AA50" i="53"/>
  <c r="AC50" i="53" s="1"/>
  <c r="F14" i="54"/>
  <c r="F19" i="54"/>
  <c r="F29" i="54"/>
  <c r="F30" i="54"/>
  <c r="C33" i="54"/>
  <c r="H28" i="53"/>
  <c r="O28" i="53" s="1"/>
  <c r="X28" i="53"/>
  <c r="AE28" i="53" s="1"/>
  <c r="AJ37" i="53"/>
  <c r="AQ37" i="53" s="1"/>
  <c r="BP49" i="53"/>
  <c r="BW49" i="53" s="1"/>
  <c r="BP50" i="53"/>
  <c r="F15" i="54"/>
  <c r="F25" i="54"/>
  <c r="F26" i="54"/>
  <c r="H16" i="53"/>
  <c r="O16" i="53" s="1"/>
  <c r="H52" i="53"/>
  <c r="O52" i="53" s="1"/>
  <c r="X52" i="53"/>
  <c r="AE52" i="53" s="1"/>
  <c r="AN16" i="53"/>
  <c r="AU16" i="53" s="1"/>
  <c r="AN40" i="53"/>
  <c r="AU40" i="53" s="1"/>
  <c r="BD4" i="53"/>
  <c r="BK4" i="53" s="1"/>
  <c r="BD28" i="53"/>
  <c r="BK28" i="53" s="1"/>
  <c r="BD52" i="53"/>
  <c r="BK52" i="53" s="1"/>
  <c r="BT16" i="53"/>
  <c r="CA16" i="53" s="1"/>
  <c r="BT40" i="53"/>
  <c r="CA40" i="53" s="1"/>
  <c r="D25" i="53"/>
  <c r="K25" i="53" s="1"/>
  <c r="AJ61" i="53"/>
  <c r="AQ61" i="53" s="1"/>
  <c r="W41" i="52"/>
  <c r="X41" i="52"/>
  <c r="V41" i="52"/>
  <c r="U23" i="52"/>
  <c r="AA23" i="52" s="1"/>
  <c r="U24" i="52"/>
  <c r="AA24" i="52" s="1"/>
  <c r="U27" i="52"/>
  <c r="AA27" i="52" s="1"/>
  <c r="U32" i="52"/>
  <c r="AA32" i="52" s="1"/>
  <c r="U40" i="52"/>
  <c r="AA40" i="52" s="1"/>
  <c r="AJ62" i="53"/>
  <c r="U22" i="52"/>
  <c r="AA22" i="52" s="1"/>
  <c r="U31" i="52"/>
  <c r="AA31" i="52" s="1"/>
  <c r="D26" i="53"/>
  <c r="BG62" i="53"/>
  <c r="BI62" i="53" s="1"/>
  <c r="BG38" i="53"/>
  <c r="BI38" i="53" s="1"/>
  <c r="U17" i="52"/>
  <c r="AA17" i="52" s="1"/>
  <c r="U34" i="52"/>
  <c r="AA34" i="52" s="1"/>
  <c r="AJ38" i="53"/>
  <c r="U16" i="52"/>
  <c r="AA16" i="52" s="1"/>
  <c r="D12" i="54"/>
  <c r="D13" i="53"/>
  <c r="K13" i="53" s="1"/>
  <c r="BG14" i="53"/>
  <c r="BI14" i="53" s="1"/>
  <c r="BG50" i="53"/>
  <c r="BI50" i="53" s="1"/>
  <c r="AZ50" i="53"/>
  <c r="AA62" i="53"/>
  <c r="AC62" i="53" s="1"/>
  <c r="K14" i="53"/>
  <c r="M14" i="53" s="1"/>
  <c r="D14" i="53"/>
  <c r="BW14" i="53"/>
  <c r="BY14" i="53" s="1"/>
  <c r="BP14" i="53"/>
  <c r="AC9" i="53"/>
  <c r="BI9" i="53"/>
  <c r="BY9" i="53"/>
  <c r="BG26" i="53"/>
  <c r="BI26" i="53" s="1"/>
  <c r="AZ26" i="53"/>
  <c r="BI33" i="53"/>
  <c r="AZ37" i="53"/>
  <c r="BG37" i="53" s="1"/>
  <c r="T49" i="53"/>
  <c r="AA49" i="53" s="1"/>
  <c r="AC45" i="53"/>
  <c r="C32" i="54"/>
  <c r="F32" i="54"/>
  <c r="C36" i="54"/>
  <c r="F36" i="54"/>
  <c r="T25" i="53"/>
  <c r="AA25" i="53" s="1"/>
  <c r="AC21" i="53"/>
  <c r="AA38" i="53"/>
  <c r="C28" i="54"/>
  <c r="F28" i="54"/>
  <c r="AS14" i="53"/>
  <c r="AA9" i="53"/>
  <c r="AJ14" i="53"/>
  <c r="BI57" i="53"/>
  <c r="AZ61" i="53"/>
  <c r="BG61" i="53" s="1"/>
  <c r="H37" i="54"/>
  <c r="C12" i="54"/>
  <c r="F12" i="54"/>
  <c r="C16" i="54"/>
  <c r="F16" i="54"/>
  <c r="C20" i="54"/>
  <c r="F20" i="54"/>
  <c r="C24" i="54"/>
  <c r="F24" i="54"/>
  <c r="AS21" i="53"/>
  <c r="BI21" i="53"/>
  <c r="K26" i="53"/>
  <c r="M26" i="53" s="1"/>
  <c r="BW26" i="53"/>
  <c r="BY26" i="53" s="1"/>
  <c r="AA33" i="53"/>
  <c r="AQ38" i="53"/>
  <c r="AS38" i="53" s="1"/>
  <c r="AS45" i="53"/>
  <c r="BI45" i="53"/>
  <c r="K50" i="53"/>
  <c r="M50" i="53" s="1"/>
  <c r="BW50" i="53"/>
  <c r="BY50" i="53" s="1"/>
  <c r="AA57" i="53"/>
  <c r="AQ62" i="53"/>
  <c r="AS62" i="53" s="1"/>
  <c r="AJ26" i="53"/>
  <c r="D37" i="53"/>
  <c r="K37" i="53" s="1"/>
  <c r="BP37" i="53"/>
  <c r="BW37" i="53" s="1"/>
  <c r="D38" i="53"/>
  <c r="BP38" i="53"/>
  <c r="AJ50" i="53"/>
  <c r="D61" i="53"/>
  <c r="K61" i="53" s="1"/>
  <c r="BP61" i="53"/>
  <c r="BW61" i="53" s="1"/>
  <c r="D62" i="53"/>
  <c r="BP62" i="53"/>
  <c r="AA21" i="53"/>
  <c r="AC33" i="53"/>
  <c r="AA45" i="53"/>
  <c r="AC57" i="53"/>
  <c r="Z25" i="53" l="1"/>
  <c r="BV61" i="53"/>
  <c r="BF13" i="53"/>
  <c r="Z13" i="53"/>
  <c r="J25" i="53"/>
  <c r="AP37" i="53"/>
  <c r="J61" i="53"/>
  <c r="AP49" i="53"/>
  <c r="BV37" i="53"/>
  <c r="Z37" i="53"/>
  <c r="AP13" i="53"/>
  <c r="BV13" i="53"/>
  <c r="BF49" i="53"/>
  <c r="BF61" i="53"/>
  <c r="BV49" i="53"/>
  <c r="Z49" i="53"/>
  <c r="BF37" i="53"/>
  <c r="BV25" i="53"/>
  <c r="J37" i="53"/>
  <c r="AP25" i="53"/>
  <c r="BF25" i="53"/>
  <c r="Z61" i="53"/>
  <c r="J13" i="53"/>
  <c r="J49" i="53"/>
  <c r="AP61" i="53"/>
  <c r="AA28" i="52"/>
  <c r="AC38" i="53"/>
  <c r="AC14" i="53"/>
  <c r="U41" i="52"/>
  <c r="AA41" i="52" s="1"/>
  <c r="AA46" i="52" s="1"/>
  <c r="AA44" i="52" l="1"/>
  <c r="AA45" i="52" s="1"/>
  <c r="AT29" i="52"/>
  <c r="AT35" i="52"/>
  <c r="AT33" i="52"/>
  <c r="AT24" i="52"/>
  <c r="AT22" i="52"/>
  <c r="AT20" i="52"/>
  <c r="AT18" i="52"/>
  <c r="AT31" i="52"/>
  <c r="AA47" i="52" l="1"/>
  <c r="AP33" i="52"/>
  <c r="AP24" i="52"/>
  <c r="AP22" i="52"/>
  <c r="AP20" i="52"/>
  <c r="AP18" i="52"/>
  <c r="AP29" i="52"/>
  <c r="AP31" i="52"/>
  <c r="AP35" i="52"/>
  <c r="AY41" i="52"/>
  <c r="AY37" i="52"/>
  <c r="AY33" i="52"/>
  <c r="AY19" i="52"/>
  <c r="AY43" i="52"/>
  <c r="AY29" i="52"/>
  <c r="AY39" i="52"/>
  <c r="AY21" i="52"/>
  <c r="AY35" i="52"/>
  <c r="AY27" i="52"/>
  <c r="AY25" i="52"/>
  <c r="AY31" i="52"/>
  <c r="AY23" i="52"/>
  <c r="N81" i="21"/>
  <c r="AP41" i="67" s="1"/>
  <c r="BC21" i="52" l="1"/>
  <c r="BC23" i="52"/>
  <c r="BC25" i="52"/>
  <c r="BC19" i="52"/>
  <c r="AP41" i="52"/>
  <c r="AM17" i="52" l="1"/>
  <c r="AM23" i="52"/>
  <c r="AM21" i="52"/>
  <c r="AM19" i="52"/>
  <c r="F160" i="25" l="1"/>
  <c r="J160" i="25" s="1"/>
  <c r="K160" i="25" s="1"/>
  <c r="M160" i="25" s="1"/>
  <c r="F159" i="25"/>
  <c r="J159" i="25" s="1"/>
  <c r="K159" i="25" s="1"/>
  <c r="M159" i="25" s="1"/>
  <c r="K154" i="25"/>
  <c r="M154" i="25" s="1"/>
  <c r="J154" i="25"/>
  <c r="J153" i="25"/>
  <c r="K153" i="25" s="1"/>
  <c r="M153" i="25" s="1"/>
  <c r="K152" i="25"/>
  <c r="M152" i="25" s="1"/>
  <c r="J152" i="25"/>
  <c r="J151" i="25"/>
  <c r="K151" i="25" s="1"/>
  <c r="M151" i="25" s="1"/>
  <c r="K150" i="25"/>
  <c r="M150" i="25" s="1"/>
  <c r="J150" i="25"/>
  <c r="J149" i="25"/>
  <c r="K149" i="25" s="1"/>
  <c r="M149" i="25" s="1"/>
  <c r="K148" i="25"/>
  <c r="M148" i="25" s="1"/>
  <c r="J148" i="25"/>
  <c r="J147" i="25"/>
  <c r="K147" i="25" s="1"/>
  <c r="M147" i="25" s="1"/>
  <c r="K146" i="25"/>
  <c r="M146" i="25" s="1"/>
  <c r="J146" i="25"/>
  <c r="J145" i="25"/>
  <c r="K145" i="25" s="1"/>
  <c r="M145" i="25" s="1"/>
  <c r="K144" i="25"/>
  <c r="M144" i="25" s="1"/>
  <c r="J144" i="25"/>
  <c r="J143" i="25"/>
  <c r="K143" i="25" s="1"/>
  <c r="M143" i="25" s="1"/>
  <c r="K142" i="25"/>
  <c r="M142" i="25" s="1"/>
  <c r="J142" i="25"/>
  <c r="J141" i="25"/>
  <c r="K141" i="25" s="1"/>
  <c r="M141" i="25" s="1"/>
  <c r="K140" i="25"/>
  <c r="M140" i="25" s="1"/>
  <c r="J140" i="25"/>
  <c r="J139" i="25"/>
  <c r="K139" i="25" s="1"/>
  <c r="M139" i="25" s="1"/>
  <c r="F135" i="25"/>
  <c r="J135" i="25" s="1"/>
  <c r="K135" i="25" s="1"/>
  <c r="M135" i="25" s="1"/>
  <c r="K134" i="25"/>
  <c r="M134" i="25" s="1"/>
  <c r="J134" i="25"/>
  <c r="J131" i="25"/>
  <c r="I131" i="25"/>
  <c r="K131" i="25" s="1"/>
  <c r="M131" i="25" s="1"/>
  <c r="I130" i="25"/>
  <c r="K130" i="25" s="1"/>
  <c r="M130" i="25" s="1"/>
  <c r="F130" i="25"/>
  <c r="J130" i="25" s="1"/>
  <c r="K126" i="25"/>
  <c r="M126" i="25" s="1"/>
  <c r="J126" i="25"/>
  <c r="J123" i="25"/>
  <c r="K123" i="25" s="1"/>
  <c r="M123" i="25" s="1"/>
  <c r="I122" i="25"/>
  <c r="F122" i="25"/>
  <c r="J122" i="25" s="1"/>
  <c r="K122" i="25" s="1"/>
  <c r="M122" i="25" s="1"/>
  <c r="J121" i="25"/>
  <c r="I121" i="25"/>
  <c r="K121" i="25" s="1"/>
  <c r="M121" i="25" s="1"/>
  <c r="J120" i="25"/>
  <c r="I120" i="25"/>
  <c r="K120" i="25" s="1"/>
  <c r="M120" i="25" s="1"/>
  <c r="J119" i="25"/>
  <c r="I119" i="25"/>
  <c r="K119" i="25" s="1"/>
  <c r="M119" i="25" s="1"/>
  <c r="J118" i="25"/>
  <c r="I118" i="25"/>
  <c r="K118" i="25" s="1"/>
  <c r="M118" i="25" s="1"/>
  <c r="J117" i="25"/>
  <c r="I117" i="25"/>
  <c r="K117" i="25" s="1"/>
  <c r="M117" i="25" s="1"/>
  <c r="J116" i="25"/>
  <c r="I116" i="25"/>
  <c r="K116" i="25" s="1"/>
  <c r="M116" i="25" s="1"/>
  <c r="J115" i="25"/>
  <c r="I115" i="25"/>
  <c r="K115" i="25" s="1"/>
  <c r="M115" i="25" s="1"/>
  <c r="J114" i="25"/>
  <c r="I114" i="25"/>
  <c r="K114" i="25" s="1"/>
  <c r="M114" i="25" s="1"/>
  <c r="J113" i="25"/>
  <c r="I113" i="25"/>
  <c r="K113" i="25" s="1"/>
  <c r="M113" i="25" s="1"/>
  <c r="I112" i="25"/>
  <c r="F112" i="25"/>
  <c r="J112" i="25" s="1"/>
  <c r="J111" i="25"/>
  <c r="I111" i="25"/>
  <c r="K111" i="25" s="1"/>
  <c r="M111" i="25" s="1"/>
  <c r="J110" i="25"/>
  <c r="I110" i="25"/>
  <c r="K110" i="25" s="1"/>
  <c r="M110" i="25" s="1"/>
  <c r="J109" i="25"/>
  <c r="I109" i="25"/>
  <c r="K109" i="25" s="1"/>
  <c r="M109" i="25" s="1"/>
  <c r="J108" i="25"/>
  <c r="I108" i="25"/>
  <c r="K108" i="25" s="1"/>
  <c r="M108" i="25" s="1"/>
  <c r="J107" i="25"/>
  <c r="I107" i="25"/>
  <c r="K107" i="25" s="1"/>
  <c r="M107" i="25" s="1"/>
  <c r="J106" i="25"/>
  <c r="I106" i="25"/>
  <c r="K106" i="25" s="1"/>
  <c r="M106" i="25" s="1"/>
  <c r="J105" i="25"/>
  <c r="I105" i="25"/>
  <c r="K105" i="25" s="1"/>
  <c r="M105" i="25" s="1"/>
  <c r="J104" i="25"/>
  <c r="I104" i="25"/>
  <c r="K104" i="25" s="1"/>
  <c r="M104" i="25" s="1"/>
  <c r="J103" i="25"/>
  <c r="I103" i="25"/>
  <c r="K103" i="25" s="1"/>
  <c r="M103" i="25" s="1"/>
  <c r="J102" i="25"/>
  <c r="I102" i="25"/>
  <c r="K102" i="25" s="1"/>
  <c r="M102" i="25" s="1"/>
  <c r="J101" i="25"/>
  <c r="I101" i="25"/>
  <c r="K101" i="25" s="1"/>
  <c r="M101" i="25" s="1"/>
  <c r="J100" i="25"/>
  <c r="I100" i="25"/>
  <c r="K100" i="25" s="1"/>
  <c r="M100" i="25" s="1"/>
  <c r="J99" i="25"/>
  <c r="I99" i="25"/>
  <c r="K99" i="25" s="1"/>
  <c r="M99" i="25" s="1"/>
  <c r="J98" i="25"/>
  <c r="I98" i="25"/>
  <c r="K98" i="25" s="1"/>
  <c r="M98" i="25" s="1"/>
  <c r="J97" i="25"/>
  <c r="I97" i="25"/>
  <c r="K97" i="25" s="1"/>
  <c r="M97" i="25" s="1"/>
  <c r="J96" i="25"/>
  <c r="I96" i="25"/>
  <c r="K96" i="25" s="1"/>
  <c r="M96" i="25" s="1"/>
  <c r="J95" i="25"/>
  <c r="I95" i="25"/>
  <c r="K95" i="25" s="1"/>
  <c r="M95" i="25" s="1"/>
  <c r="K92" i="25"/>
  <c r="M92" i="25" s="1"/>
  <c r="J92" i="25"/>
  <c r="J91" i="25"/>
  <c r="K91" i="25" s="1"/>
  <c r="M91" i="25" s="1"/>
  <c r="K90" i="25"/>
  <c r="M90" i="25" s="1"/>
  <c r="J90" i="25"/>
  <c r="J89" i="25"/>
  <c r="K89" i="25" s="1"/>
  <c r="M89" i="25" s="1"/>
  <c r="K88" i="25"/>
  <c r="M88" i="25" s="1"/>
  <c r="J88" i="25"/>
  <c r="J87" i="25"/>
  <c r="K87" i="25" s="1"/>
  <c r="M87" i="25" s="1"/>
  <c r="K86" i="25"/>
  <c r="M86" i="25" s="1"/>
  <c r="J86" i="25"/>
  <c r="J85" i="25"/>
  <c r="K85" i="25" s="1"/>
  <c r="M85" i="25" s="1"/>
  <c r="K84" i="25"/>
  <c r="M84" i="25" s="1"/>
  <c r="J84" i="25"/>
  <c r="J83" i="25"/>
  <c r="K83" i="25" s="1"/>
  <c r="M83" i="25" s="1"/>
  <c r="K82" i="25"/>
  <c r="M82" i="25" s="1"/>
  <c r="J82" i="25"/>
  <c r="J81" i="25"/>
  <c r="K81" i="25" s="1"/>
  <c r="M81" i="25" s="1"/>
  <c r="K80" i="25"/>
  <c r="M80" i="25" s="1"/>
  <c r="J80" i="25"/>
  <c r="J79" i="25"/>
  <c r="K79" i="25" s="1"/>
  <c r="M79" i="25" s="1"/>
  <c r="K78" i="25"/>
  <c r="M78" i="25" s="1"/>
  <c r="J78" i="25"/>
  <c r="J77" i="25"/>
  <c r="K77" i="25" s="1"/>
  <c r="M77" i="25" s="1"/>
  <c r="K76" i="25"/>
  <c r="M76" i="25" s="1"/>
  <c r="J76" i="25"/>
  <c r="J75" i="25"/>
  <c r="K75" i="25" s="1"/>
  <c r="M75" i="25" s="1"/>
  <c r="K74" i="25"/>
  <c r="M74" i="25" s="1"/>
  <c r="J74" i="25"/>
  <c r="J73" i="25"/>
  <c r="K73" i="25" s="1"/>
  <c r="M73" i="25" s="1"/>
  <c r="K72" i="25"/>
  <c r="M72" i="25" s="1"/>
  <c r="J72" i="25"/>
  <c r="J71" i="25"/>
  <c r="K71" i="25" s="1"/>
  <c r="M71" i="25" s="1"/>
  <c r="K70" i="25"/>
  <c r="M70" i="25" s="1"/>
  <c r="J70" i="25"/>
  <c r="J69" i="25"/>
  <c r="K69" i="25" s="1"/>
  <c r="M69" i="25" s="1"/>
  <c r="K68" i="25"/>
  <c r="M68" i="25" s="1"/>
  <c r="J68" i="25"/>
  <c r="J67" i="25"/>
  <c r="K67" i="25" s="1"/>
  <c r="M67" i="25" s="1"/>
  <c r="K66" i="25"/>
  <c r="M66" i="25" s="1"/>
  <c r="J66" i="25"/>
  <c r="J65" i="25"/>
  <c r="K65" i="25" s="1"/>
  <c r="M65" i="25" s="1"/>
  <c r="K64" i="25"/>
  <c r="M64" i="25" s="1"/>
  <c r="J64" i="25"/>
  <c r="J63" i="25"/>
  <c r="K63" i="25" s="1"/>
  <c r="M63" i="25" s="1"/>
  <c r="K112" i="25" l="1"/>
  <c r="M112" i="25" s="1"/>
  <c r="J8" i="25" l="1"/>
  <c r="K8" i="25"/>
  <c r="M8" i="25" s="1"/>
  <c r="J9" i="25"/>
  <c r="K9" i="25"/>
  <c r="M9" i="25"/>
  <c r="J13" i="25"/>
  <c r="K13" i="25" s="1"/>
  <c r="M13" i="25" s="1"/>
  <c r="J14" i="25"/>
  <c r="K14" i="25"/>
  <c r="M14" i="25" s="1"/>
  <c r="J15" i="25"/>
  <c r="K15" i="25"/>
  <c r="M15" i="25"/>
  <c r="J16" i="25"/>
  <c r="K16" i="25"/>
  <c r="M16" i="25"/>
  <c r="J20" i="25"/>
  <c r="K20" i="25" s="1"/>
  <c r="M20" i="25" s="1"/>
  <c r="J21" i="25"/>
  <c r="K21" i="25"/>
  <c r="M21" i="25" s="1"/>
  <c r="J22" i="25"/>
  <c r="K22" i="25"/>
  <c r="M22" i="25"/>
  <c r="J23" i="25"/>
  <c r="K23" i="25"/>
  <c r="M23" i="25"/>
  <c r="J24" i="25"/>
  <c r="K24" i="25" s="1"/>
  <c r="M24" i="25" s="1"/>
  <c r="J25" i="25"/>
  <c r="K25" i="25"/>
  <c r="M25" i="25" s="1"/>
  <c r="J26" i="25"/>
  <c r="K26" i="25"/>
  <c r="M26" i="25"/>
  <c r="J27" i="25"/>
  <c r="K27" i="25"/>
  <c r="M27" i="25"/>
  <c r="J28" i="25"/>
  <c r="K28" i="25" s="1"/>
  <c r="M28" i="25" s="1"/>
  <c r="J29" i="25"/>
  <c r="K29" i="25"/>
  <c r="M29" i="25" s="1"/>
  <c r="J30" i="25"/>
  <c r="K30" i="25"/>
  <c r="M30" i="25"/>
  <c r="J31" i="25"/>
  <c r="K31" i="25" s="1"/>
  <c r="M31" i="25" s="1"/>
  <c r="J32" i="25"/>
  <c r="K32" i="25" s="1"/>
  <c r="M32" i="25" s="1"/>
  <c r="J37" i="25"/>
  <c r="K37" i="25"/>
  <c r="M37" i="25" s="1"/>
  <c r="J38" i="25"/>
  <c r="K38" i="25"/>
  <c r="M38" i="25"/>
  <c r="J39" i="25"/>
  <c r="K39" i="25" s="1"/>
  <c r="M39" i="25" s="1"/>
  <c r="J40" i="25"/>
  <c r="K40" i="25" s="1"/>
  <c r="M40" i="25" s="1"/>
  <c r="J41" i="25"/>
  <c r="K41" i="25"/>
  <c r="M41" i="25" s="1"/>
  <c r="J42" i="25"/>
  <c r="K42" i="25"/>
  <c r="M42" i="25"/>
  <c r="J43" i="25"/>
  <c r="K43" i="25"/>
  <c r="M43" i="25"/>
  <c r="J48" i="25"/>
  <c r="K48" i="25" s="1"/>
  <c r="M48" i="25" s="1"/>
  <c r="J49" i="25"/>
  <c r="K49" i="25"/>
  <c r="M49" i="25" s="1"/>
  <c r="J50" i="25"/>
  <c r="K50" i="25"/>
  <c r="M50" i="25"/>
  <c r="J51" i="25"/>
  <c r="K51" i="25"/>
  <c r="M51" i="25"/>
  <c r="J52" i="25"/>
  <c r="K52" i="25" s="1"/>
  <c r="M52" i="25" s="1"/>
  <c r="J53" i="25"/>
  <c r="K53" i="25"/>
  <c r="M53" i="25" s="1"/>
  <c r="J54" i="25"/>
  <c r="K54" i="25"/>
  <c r="M54" i="25"/>
  <c r="J55" i="25"/>
  <c r="K55" i="25"/>
  <c r="M55" i="25"/>
  <c r="D38" i="56"/>
  <c r="D40" i="56" s="1"/>
</calcChain>
</file>

<file path=xl/sharedStrings.xml><?xml version="1.0" encoding="utf-8"?>
<sst xmlns="http://schemas.openxmlformats.org/spreadsheetml/2006/main" count="4994" uniqueCount="2675">
  <si>
    <t>Bill To:</t>
  </si>
  <si>
    <t>Job:</t>
  </si>
  <si>
    <t>Room</t>
  </si>
  <si>
    <t>Size</t>
  </si>
  <si>
    <t>X</t>
  </si>
  <si>
    <t>Phone</t>
  </si>
  <si>
    <t>Totals</t>
  </si>
  <si>
    <t>Page 2</t>
  </si>
  <si>
    <t>total</t>
  </si>
  <si>
    <t>Travel</t>
  </si>
  <si>
    <t>Measure</t>
  </si>
  <si>
    <t>Contact</t>
  </si>
  <si>
    <t>#</t>
  </si>
  <si>
    <t>Side</t>
  </si>
  <si>
    <t>Rails</t>
  </si>
  <si>
    <t>color</t>
  </si>
  <si>
    <t>Hembar</t>
  </si>
  <si>
    <t xml:space="preserve">   Pattern</t>
  </si>
  <si>
    <t xml:space="preserve">   Fabric</t>
  </si>
  <si>
    <t>Fabric</t>
  </si>
  <si>
    <t>Width</t>
  </si>
  <si>
    <t>Job #</t>
  </si>
  <si>
    <t>Name</t>
  </si>
  <si>
    <t>Location</t>
  </si>
  <si>
    <t>Cut Size</t>
  </si>
  <si>
    <t>Side Channel</t>
  </si>
  <si>
    <t>Bottom rail color</t>
  </si>
  <si>
    <t>Length</t>
  </si>
  <si>
    <t>Facia Color</t>
  </si>
  <si>
    <t>Brackets</t>
  </si>
  <si>
    <t>Job number assigned by office</t>
  </si>
  <si>
    <t>Line 4</t>
  </si>
  <si>
    <t>Line 1</t>
  </si>
  <si>
    <t>Line 2</t>
  </si>
  <si>
    <t>Line 3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</si>
  <si>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</si>
  <si>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</si>
  <si>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</si>
  <si>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</si>
  <si>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</si>
  <si>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</si>
  <si>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</si>
  <si>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</si>
  <si>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</si>
  <si>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</si>
  <si>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</si>
  <si>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</si>
  <si>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</si>
  <si>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</si>
  <si>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</si>
  <si>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</si>
  <si>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line 4</t>
  </si>
  <si>
    <t>line5</t>
  </si>
  <si>
    <t>line6</t>
  </si>
  <si>
    <t>line 7</t>
  </si>
  <si>
    <t>line 8</t>
  </si>
  <si>
    <t>line 9</t>
  </si>
  <si>
    <t>line 10</t>
  </si>
  <si>
    <t>Side chnl. Install.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</si>
  <si>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</si>
  <si>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</si>
  <si>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</si>
  <si>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</si>
  <si>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</si>
  <si>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</si>
  <si>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</si>
  <si>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</si>
  <si>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</si>
  <si>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</si>
  <si>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Yellow cells have formulas</t>
  </si>
  <si>
    <t>Orange cells for office use only</t>
  </si>
  <si>
    <t>webuildem Const co.</t>
  </si>
  <si>
    <t>801-555-5555</t>
  </si>
  <si>
    <t>86 Condemed lane</t>
  </si>
  <si>
    <t>I M 4 Everlost Ave.</t>
  </si>
  <si>
    <t>Swamp View Medical Towers</t>
  </si>
  <si>
    <t>IB</t>
  </si>
  <si>
    <t>OB</t>
  </si>
  <si>
    <t>Job Name</t>
  </si>
  <si>
    <t>Hardware Cutting sheet</t>
  </si>
  <si>
    <t>Fascia</t>
  </si>
  <si>
    <t xml:space="preserve"> </t>
  </si>
  <si>
    <t>RR = Railroad</t>
  </si>
  <si>
    <t>DO NOT CHANGE SIZE PARAMETERS !!!!!</t>
  </si>
  <si>
    <t>DO NOT ADD LINES TO THIS FORM</t>
  </si>
  <si>
    <t>PAGE 1</t>
  </si>
  <si>
    <t>Manual Roller Shades</t>
  </si>
  <si>
    <t>Maximum of 1 per line</t>
  </si>
  <si>
    <t>markup</t>
  </si>
  <si>
    <t>Pricing factor chart</t>
  </si>
  <si>
    <t>+/- .001</t>
  </si>
  <si>
    <t>roll</t>
  </si>
  <si>
    <t xml:space="preserve">our cost </t>
  </si>
  <si>
    <t>sq inches</t>
  </si>
  <si>
    <t>our cost</t>
  </si>
  <si>
    <t>Pricing</t>
  </si>
  <si>
    <t>size</t>
  </si>
  <si>
    <t>per roll</t>
  </si>
  <si>
    <t>per sq inch</t>
  </si>
  <si>
    <t>factor</t>
  </si>
  <si>
    <t>Sheerweave</t>
  </si>
  <si>
    <t>Sheerweave # 1000</t>
  </si>
  <si>
    <t>"</t>
  </si>
  <si>
    <t>ft</t>
  </si>
  <si>
    <t>Sheerweave # 2000</t>
  </si>
  <si>
    <t>Sheerweave # 2100</t>
  </si>
  <si>
    <t>Sheerweave # 2360 / 2390 / 2410</t>
  </si>
  <si>
    <t>Sheerweave # 3000</t>
  </si>
  <si>
    <t>Sheerweave # 4000</t>
  </si>
  <si>
    <t>Sheerweave # 4100</t>
  </si>
  <si>
    <t>Sheerweave # 4400</t>
  </si>
  <si>
    <t>Sheerweave #4500</t>
  </si>
  <si>
    <t>Sheerweave # 4800</t>
  </si>
  <si>
    <t>Sheerweave # 5000</t>
  </si>
  <si>
    <t>Sheerweave # 7000</t>
  </si>
  <si>
    <t>Sheerweave # 7100</t>
  </si>
  <si>
    <t xml:space="preserve">Sheerweave # 7500 Blackout </t>
  </si>
  <si>
    <t>Mermet</t>
  </si>
  <si>
    <t>E Screen 7501</t>
  </si>
  <si>
    <t>E Screen 7503</t>
  </si>
  <si>
    <t>E Screen 7505</t>
  </si>
  <si>
    <t xml:space="preserve">E Screen 7510 </t>
  </si>
  <si>
    <t>M Screen 8503</t>
  </si>
  <si>
    <t>M Screen 8505</t>
  </si>
  <si>
    <t>M Screeen 8555</t>
  </si>
  <si>
    <t>T Screen 9601</t>
  </si>
  <si>
    <t>T Screen 9603</t>
  </si>
  <si>
    <t>Satine 5500</t>
  </si>
  <si>
    <t>Natte 4500</t>
  </si>
  <si>
    <t>Fiz 12905</t>
  </si>
  <si>
    <t>light filtering</t>
  </si>
  <si>
    <t>Paradis 11600</t>
  </si>
  <si>
    <t>Obion 11203</t>
  </si>
  <si>
    <t>Flocke 11201</t>
  </si>
  <si>
    <t>Blackout</t>
  </si>
  <si>
    <t>Silverscreen 38505</t>
  </si>
  <si>
    <t>Vela 2105</t>
  </si>
  <si>
    <t>Terra 2306</t>
  </si>
  <si>
    <t>Blackout Exlite 14500</t>
  </si>
  <si>
    <t xml:space="preserve">Avila Twilight  </t>
  </si>
  <si>
    <t>Butler Laminating</t>
  </si>
  <si>
    <t>Panta Flex  Matte white</t>
  </si>
  <si>
    <t>Mariak</t>
  </si>
  <si>
    <t>Econo sheer</t>
  </si>
  <si>
    <t>Woodland cedar</t>
  </si>
  <si>
    <t>Herculite</t>
  </si>
  <si>
    <t>Herculite 80M</t>
  </si>
  <si>
    <t>blackout</t>
  </si>
  <si>
    <t>Showtime II 14 oz. black</t>
  </si>
  <si>
    <t>Showtime II 14 oz. Royal Blue</t>
  </si>
  <si>
    <t>Alkenz</t>
  </si>
  <si>
    <t>Sunshadow 3000 net</t>
  </si>
  <si>
    <t>Sunshadow 3000 Duo</t>
  </si>
  <si>
    <t>Sunshadow 3000 RR</t>
  </si>
  <si>
    <t>Sunshadow 3000 HT</t>
  </si>
  <si>
    <t xml:space="preserve">Sunshadow 3100 net </t>
  </si>
  <si>
    <t>Sunshadow 3300 net</t>
  </si>
  <si>
    <t>Sunshadow 3500 HT</t>
  </si>
  <si>
    <t>Sunshadow 4000 Net</t>
  </si>
  <si>
    <t>Sunshadow 4000 L</t>
  </si>
  <si>
    <t>Sunshadow 4000 W</t>
  </si>
  <si>
    <t>Sunshadow 4100 AP</t>
  </si>
  <si>
    <t>Sunshadow 4300 Net</t>
  </si>
  <si>
    <t>Sunshadow 4700 P</t>
  </si>
  <si>
    <t>Sunshadow 4700 Q</t>
  </si>
  <si>
    <t>Sunshadow View SS</t>
  </si>
  <si>
    <t>Sunshadow View R</t>
  </si>
  <si>
    <t>G &amp; G</t>
  </si>
  <si>
    <t>Sunout 5000</t>
  </si>
  <si>
    <t>Quotation</t>
  </si>
  <si>
    <t>We are pleased to submit to you the following bid for your consideration:</t>
  </si>
  <si>
    <t>Product:</t>
  </si>
  <si>
    <t>Total Bid</t>
  </si>
  <si>
    <t>Tax Rate</t>
  </si>
  <si>
    <t xml:space="preserve">you to call us if you have any questions.  </t>
  </si>
  <si>
    <t>Submitted by:</t>
  </si>
  <si>
    <t>Colton Inc.</t>
  </si>
  <si>
    <t>line 21</t>
  </si>
  <si>
    <t>line 22</t>
  </si>
  <si>
    <t>line 23</t>
  </si>
  <si>
    <t>line 24</t>
  </si>
  <si>
    <t>line 25</t>
  </si>
  <si>
    <t>Line 21</t>
  </si>
  <si>
    <t>Line 22</t>
  </si>
  <si>
    <t>Line 23</t>
  </si>
  <si>
    <t>Line 24</t>
  </si>
  <si>
    <t>Line 25</t>
  </si>
  <si>
    <t>Email</t>
  </si>
  <si>
    <t>Sales Rep</t>
  </si>
  <si>
    <t>Tax</t>
  </si>
  <si>
    <t>Total</t>
  </si>
  <si>
    <t>Subtotal</t>
  </si>
  <si>
    <t>Site</t>
  </si>
  <si>
    <t>Office</t>
  </si>
  <si>
    <t>Page 2 Sub Total</t>
  </si>
  <si>
    <t>Singular Blackout 2800 FR</t>
  </si>
  <si>
    <t>Material:</t>
  </si>
  <si>
    <t>Location:</t>
  </si>
  <si>
    <t>Bid Date:</t>
  </si>
  <si>
    <t>Project:</t>
  </si>
  <si>
    <t>Address:</t>
  </si>
  <si>
    <t>Attention:</t>
  </si>
  <si>
    <t>V = Vertical</t>
  </si>
  <si>
    <t>Cell:</t>
  </si>
  <si>
    <t>Acct. Executive:</t>
  </si>
  <si>
    <t>Clutch</t>
  </si>
  <si>
    <t>Style</t>
  </si>
  <si>
    <t>Account Executive</t>
  </si>
  <si>
    <t>@coltoninc.com</t>
  </si>
  <si>
    <t>Phone:</t>
  </si>
  <si>
    <t>Email:</t>
  </si>
  <si>
    <t>Customer:</t>
  </si>
  <si>
    <t>(If Applicable, Confirm Rate)</t>
  </si>
  <si>
    <t>(if different):</t>
  </si>
  <si>
    <t>Billing Name:</t>
  </si>
  <si>
    <r>
      <t>Billing Address</t>
    </r>
    <r>
      <rPr>
        <sz val="8"/>
        <rFont val="Arial"/>
        <family val="2"/>
      </rPr>
      <t>:</t>
    </r>
  </si>
  <si>
    <t>Clutch = side</t>
  </si>
  <si>
    <t xml:space="preserve">Sign (Hardware): </t>
  </si>
  <si>
    <t>Production Log-</t>
  </si>
  <si>
    <t>Tube</t>
  </si>
  <si>
    <t>CM</t>
  </si>
  <si>
    <t>ZMC</t>
  </si>
  <si>
    <t>Pg # __________</t>
  </si>
  <si>
    <t>P1-RS25</t>
  </si>
  <si>
    <t>P1-RS24</t>
  </si>
  <si>
    <t>P1-RS23</t>
  </si>
  <si>
    <t>P1-RS22</t>
  </si>
  <si>
    <t>P1-RS21</t>
  </si>
  <si>
    <t>P1-RS20</t>
  </si>
  <si>
    <t>P1-RS19</t>
  </si>
  <si>
    <t>P1-RS18</t>
  </si>
  <si>
    <t>P1-RS17</t>
  </si>
  <si>
    <t>P1-RS16</t>
  </si>
  <si>
    <t>P1-RS15</t>
  </si>
  <si>
    <t>P1-RS14</t>
  </si>
  <si>
    <t>P1-RS13</t>
  </si>
  <si>
    <t>P1-RS12</t>
  </si>
  <si>
    <t>P1-RS11</t>
  </si>
  <si>
    <t>P1-RS10</t>
  </si>
  <si>
    <t>P1-RS9</t>
  </si>
  <si>
    <t>P1-RS8</t>
  </si>
  <si>
    <t>P1-RS7</t>
  </si>
  <si>
    <t>P1-RS6</t>
  </si>
  <si>
    <t>P1-RS5</t>
  </si>
  <si>
    <t>P1-RS4</t>
  </si>
  <si>
    <t>P1-RS3</t>
  </si>
  <si>
    <t>P1-RS2</t>
  </si>
  <si>
    <t>P1-RS1</t>
  </si>
  <si>
    <t>V / RR</t>
  </si>
  <si>
    <t xml:space="preserve">Notes      </t>
  </si>
  <si>
    <t>Notch</t>
  </si>
  <si>
    <t>Page #</t>
  </si>
  <si>
    <t>Shade Reference</t>
  </si>
  <si>
    <t>P2-RS1</t>
  </si>
  <si>
    <t>P2-RS2</t>
  </si>
  <si>
    <t>P2-RS3</t>
  </si>
  <si>
    <t>P2-RS4</t>
  </si>
  <si>
    <t>P2-RS5</t>
  </si>
  <si>
    <t>P2-RS6</t>
  </si>
  <si>
    <t>P2-RS7</t>
  </si>
  <si>
    <t>P2-RS8</t>
  </si>
  <si>
    <t>P2-RS9</t>
  </si>
  <si>
    <t>P2-RS10</t>
  </si>
  <si>
    <t>P2-RS11</t>
  </si>
  <si>
    <t>P2-RS12</t>
  </si>
  <si>
    <t>P2-RS13</t>
  </si>
  <si>
    <t>P2-RS14</t>
  </si>
  <si>
    <t>P2-RS15</t>
  </si>
  <si>
    <t>P2-RS16</t>
  </si>
  <si>
    <t>P2-RS17</t>
  </si>
  <si>
    <t>P2-RS18</t>
  </si>
  <si>
    <t>P2-RS19</t>
  </si>
  <si>
    <t>P2-RS20</t>
  </si>
  <si>
    <t>P2-RS21</t>
  </si>
  <si>
    <t>P2-RS22</t>
  </si>
  <si>
    <t>P2-RS23</t>
  </si>
  <si>
    <t>P2-RS24</t>
  </si>
  <si>
    <t>P2-RS25</t>
  </si>
  <si>
    <t>P3-RS1</t>
  </si>
  <si>
    <t>P3-RS2</t>
  </si>
  <si>
    <t>P3-RS3</t>
  </si>
  <si>
    <t>P3-RS4</t>
  </si>
  <si>
    <t>P3-RS5</t>
  </si>
  <si>
    <t>P3-RS6</t>
  </si>
  <si>
    <t>P3-RS7</t>
  </si>
  <si>
    <t>P3-RS8</t>
  </si>
  <si>
    <t>P3-RS9</t>
  </si>
  <si>
    <t>P3-RS10</t>
  </si>
  <si>
    <t>P3-RS11</t>
  </si>
  <si>
    <t>P3-RS12</t>
  </si>
  <si>
    <t>P3-RS13</t>
  </si>
  <si>
    <t>P3-RS14</t>
  </si>
  <si>
    <t>P3-RS15</t>
  </si>
  <si>
    <t>P3-RS16</t>
  </si>
  <si>
    <t>P3-RS17</t>
  </si>
  <si>
    <t>P3-RS18</t>
  </si>
  <si>
    <t>P3-RS19</t>
  </si>
  <si>
    <t>P3-RS20</t>
  </si>
  <si>
    <t>P3-RS21</t>
  </si>
  <si>
    <t>P3-RS22</t>
  </si>
  <si>
    <t>P3-RS23</t>
  </si>
  <si>
    <t>P3-RS24</t>
  </si>
  <si>
    <t>P3-RS25</t>
  </si>
  <si>
    <t>P4-RS1</t>
  </si>
  <si>
    <t>P4-RS2</t>
  </si>
  <si>
    <t>P4-RS3</t>
  </si>
  <si>
    <t>P4-RS4</t>
  </si>
  <si>
    <t>P4-RS5</t>
  </si>
  <si>
    <t>P4-RS6</t>
  </si>
  <si>
    <t>P4-RS7</t>
  </si>
  <si>
    <t>P4-RS8</t>
  </si>
  <si>
    <t>P4-RS9</t>
  </si>
  <si>
    <t>P4-RS10</t>
  </si>
  <si>
    <t>P4-RS11</t>
  </si>
  <si>
    <t>P4-RS12</t>
  </si>
  <si>
    <t>P4-RS13</t>
  </si>
  <si>
    <t>P4-RS14</t>
  </si>
  <si>
    <t>P4-RS15</t>
  </si>
  <si>
    <t>P4-RS16</t>
  </si>
  <si>
    <t>P4-RS17</t>
  </si>
  <si>
    <t>P4-RS18</t>
  </si>
  <si>
    <t>P4-RS19</t>
  </si>
  <si>
    <t>P4-RS20</t>
  </si>
  <si>
    <t>P4-RS21</t>
  </si>
  <si>
    <t>P4-RS22</t>
  </si>
  <si>
    <t>P4-RS23</t>
  </si>
  <si>
    <t>P4-RS24</t>
  </si>
  <si>
    <t>P4-RS25</t>
  </si>
  <si>
    <t>P5-RS1</t>
  </si>
  <si>
    <t>P5-RS2</t>
  </si>
  <si>
    <t>P5-RS3</t>
  </si>
  <si>
    <t>P5-RS4</t>
  </si>
  <si>
    <t>P5-RS5</t>
  </si>
  <si>
    <t>P5-RS6</t>
  </si>
  <si>
    <t>P5-RS7</t>
  </si>
  <si>
    <t>P5-RS8</t>
  </si>
  <si>
    <t>P5-RS9</t>
  </si>
  <si>
    <t>P5-RS10</t>
  </si>
  <si>
    <t>P5-RS11</t>
  </si>
  <si>
    <t>P5-RS12</t>
  </si>
  <si>
    <t>P5-RS13</t>
  </si>
  <si>
    <t>P5-RS14</t>
  </si>
  <si>
    <t>P5-RS15</t>
  </si>
  <si>
    <t>P5-RS16</t>
  </si>
  <si>
    <t>P5-RS17</t>
  </si>
  <si>
    <t>P5-RS18</t>
  </si>
  <si>
    <t>P5-RS19</t>
  </si>
  <si>
    <t>P5-RS20</t>
  </si>
  <si>
    <t>P5-RS21</t>
  </si>
  <si>
    <t>P5-RS22</t>
  </si>
  <si>
    <t>P5-RS23</t>
  </si>
  <si>
    <t>P5-RS24</t>
  </si>
  <si>
    <t>P5-RS25</t>
  </si>
  <si>
    <t>P6-RS1</t>
  </si>
  <si>
    <t>P6-RS2</t>
  </si>
  <si>
    <t>P6-RS3</t>
  </si>
  <si>
    <t>P6-RS4</t>
  </si>
  <si>
    <t>P6-RS5</t>
  </si>
  <si>
    <t>P6-RS6</t>
  </si>
  <si>
    <t>P6-RS7</t>
  </si>
  <si>
    <t>P6-RS8</t>
  </si>
  <si>
    <t>P6-RS9</t>
  </si>
  <si>
    <t>P6-RS10</t>
  </si>
  <si>
    <t>P6-RS11</t>
  </si>
  <si>
    <t>P6-RS12</t>
  </si>
  <si>
    <t>P6-RS13</t>
  </si>
  <si>
    <t>P6-RS14</t>
  </si>
  <si>
    <t>P6-RS15</t>
  </si>
  <si>
    <t>P6-RS16</t>
  </si>
  <si>
    <t>P6-RS17</t>
  </si>
  <si>
    <t>P6-RS18</t>
  </si>
  <si>
    <t>P6-RS19</t>
  </si>
  <si>
    <t>P6-RS20</t>
  </si>
  <si>
    <t>P6-RS21</t>
  </si>
  <si>
    <t>P6-RS22</t>
  </si>
  <si>
    <t>P6-RS23</t>
  </si>
  <si>
    <t>P6-RS24</t>
  </si>
  <si>
    <t>P6-RS25</t>
  </si>
  <si>
    <t>P7-RS1</t>
  </si>
  <si>
    <t>P7-RS2</t>
  </si>
  <si>
    <t>P7-RS3</t>
  </si>
  <si>
    <t>P7-RS4</t>
  </si>
  <si>
    <t>P7-RS5</t>
  </si>
  <si>
    <t>P7-RS6</t>
  </si>
  <si>
    <t>P7-RS7</t>
  </si>
  <si>
    <t>P7-RS8</t>
  </si>
  <si>
    <t>P7-RS9</t>
  </si>
  <si>
    <t>P7-RS10</t>
  </si>
  <si>
    <t>P7-RS11</t>
  </si>
  <si>
    <t>P7-RS12</t>
  </si>
  <si>
    <t>P7-RS13</t>
  </si>
  <si>
    <t>P7-RS14</t>
  </si>
  <si>
    <t>P7-RS15</t>
  </si>
  <si>
    <t>P7-RS16</t>
  </si>
  <si>
    <t>P7-RS17</t>
  </si>
  <si>
    <t>P7-RS18</t>
  </si>
  <si>
    <t>P7-RS19</t>
  </si>
  <si>
    <t>P7-RS20</t>
  </si>
  <si>
    <t>P7-RS21</t>
  </si>
  <si>
    <t>P7-RS22</t>
  </si>
  <si>
    <t>P7-RS23</t>
  </si>
  <si>
    <t>P7-RS24</t>
  </si>
  <si>
    <t>P7-RS25</t>
  </si>
  <si>
    <t>P8-RS1</t>
  </si>
  <si>
    <t>P9-RS1</t>
  </si>
  <si>
    <t>P10-RS1</t>
  </si>
  <si>
    <t>P11-RS1</t>
  </si>
  <si>
    <t>P12-RS1</t>
  </si>
  <si>
    <t>P13-RS1</t>
  </si>
  <si>
    <t>P14-RS1</t>
  </si>
  <si>
    <t>P15-RS1</t>
  </si>
  <si>
    <t>P16-RS1</t>
  </si>
  <si>
    <t>P17-RS1</t>
  </si>
  <si>
    <t>P18-RS1</t>
  </si>
  <si>
    <t>P19-RS1</t>
  </si>
  <si>
    <t>P20-RS1</t>
  </si>
  <si>
    <t>P21-RS1</t>
  </si>
  <si>
    <t>P22-RS1</t>
  </si>
  <si>
    <t>P23-RS1</t>
  </si>
  <si>
    <t>P24-RS1</t>
  </si>
  <si>
    <t>P25-RS1</t>
  </si>
  <si>
    <t>P26-RS1</t>
  </si>
  <si>
    <t>P27-RS1</t>
  </si>
  <si>
    <t>P28-RS1</t>
  </si>
  <si>
    <t>P29-RS1</t>
  </si>
  <si>
    <t>P30-RS1</t>
  </si>
  <si>
    <t>P8-RS2</t>
  </si>
  <si>
    <t>P9-RS2</t>
  </si>
  <si>
    <t>P10-RS2</t>
  </si>
  <si>
    <t>P11-RS2</t>
  </si>
  <si>
    <t>P12-RS2</t>
  </si>
  <si>
    <t>P13-RS2</t>
  </si>
  <si>
    <t>P14-RS2</t>
  </si>
  <si>
    <t>P15-RS2</t>
  </si>
  <si>
    <t>P16-RS2</t>
  </si>
  <si>
    <t>P17-RS2</t>
  </si>
  <si>
    <t>P18-RS2</t>
  </si>
  <si>
    <t>P19-RS2</t>
  </si>
  <si>
    <t>P20-RS2</t>
  </si>
  <si>
    <t>P21-RS2</t>
  </si>
  <si>
    <t>P22-RS2</t>
  </si>
  <si>
    <t>P23-RS2</t>
  </si>
  <si>
    <t>P24-RS2</t>
  </si>
  <si>
    <t>P25-RS2</t>
  </si>
  <si>
    <t>P26-RS2</t>
  </si>
  <si>
    <t>P27-RS2</t>
  </si>
  <si>
    <t>P28-RS2</t>
  </si>
  <si>
    <t>P29-RS2</t>
  </si>
  <si>
    <t>P30-RS2</t>
  </si>
  <si>
    <t>P8-RS3</t>
  </si>
  <si>
    <t>P9-RS3</t>
  </si>
  <si>
    <t>P10-RS3</t>
  </si>
  <si>
    <t>P11-RS3</t>
  </si>
  <si>
    <t>P12-RS3</t>
  </si>
  <si>
    <t>P13-RS3</t>
  </si>
  <si>
    <t>P14-RS3</t>
  </si>
  <si>
    <t>P15-RS3</t>
  </si>
  <si>
    <t>P16-RS3</t>
  </si>
  <si>
    <t>P17-RS3</t>
  </si>
  <si>
    <t>P18-RS3</t>
  </si>
  <si>
    <t>P19-RS3</t>
  </si>
  <si>
    <t>P20-RS3</t>
  </si>
  <si>
    <t>P21-RS3</t>
  </si>
  <si>
    <t>P22-RS3</t>
  </si>
  <si>
    <t>P23-RS3</t>
  </si>
  <si>
    <t>P24-RS3</t>
  </si>
  <si>
    <t>P25-RS3</t>
  </si>
  <si>
    <t>P26-RS3</t>
  </si>
  <si>
    <t>P27-RS3</t>
  </si>
  <si>
    <t>P28-RS3</t>
  </si>
  <si>
    <t>P29-RS3</t>
  </si>
  <si>
    <t>P30-RS3</t>
  </si>
  <si>
    <t>P8-RS4</t>
  </si>
  <si>
    <t>P9-RS4</t>
  </si>
  <si>
    <t>P10-RS4</t>
  </si>
  <si>
    <t>P11-RS4</t>
  </si>
  <si>
    <t>P12-RS4</t>
  </si>
  <si>
    <t>P13-RS4</t>
  </si>
  <si>
    <t>P14-RS4</t>
  </si>
  <si>
    <t>P15-RS4</t>
  </si>
  <si>
    <t>P16-RS4</t>
  </si>
  <si>
    <t>P17-RS4</t>
  </si>
  <si>
    <t>P18-RS4</t>
  </si>
  <si>
    <t>P19-RS4</t>
  </si>
  <si>
    <t>P20-RS4</t>
  </si>
  <si>
    <t>P21-RS4</t>
  </si>
  <si>
    <t>P22-RS4</t>
  </si>
  <si>
    <t>P23-RS4</t>
  </si>
  <si>
    <t>P24-RS4</t>
  </si>
  <si>
    <t>P25-RS4</t>
  </si>
  <si>
    <t>P26-RS4</t>
  </si>
  <si>
    <t>P27-RS4</t>
  </si>
  <si>
    <t>P28-RS4</t>
  </si>
  <si>
    <t>P29-RS4</t>
  </si>
  <si>
    <t>P30-RS4</t>
  </si>
  <si>
    <t>P8-RS5</t>
  </si>
  <si>
    <t>P9-RS5</t>
  </si>
  <si>
    <t>P10-RS5</t>
  </si>
  <si>
    <t>P11-RS5</t>
  </si>
  <si>
    <t>P12-RS5</t>
  </si>
  <si>
    <t>P13-RS5</t>
  </si>
  <si>
    <t>P14-RS5</t>
  </si>
  <si>
    <t>P15-RS5</t>
  </si>
  <si>
    <t>P16-RS5</t>
  </si>
  <si>
    <t>P17-RS5</t>
  </si>
  <si>
    <t>P18-RS5</t>
  </si>
  <si>
    <t>P19-RS5</t>
  </si>
  <si>
    <t>P20-RS5</t>
  </si>
  <si>
    <t>P21-RS5</t>
  </si>
  <si>
    <t>P22-RS5</t>
  </si>
  <si>
    <t>P23-RS5</t>
  </si>
  <si>
    <t>P24-RS5</t>
  </si>
  <si>
    <t>P25-RS5</t>
  </si>
  <si>
    <t>P26-RS5</t>
  </si>
  <si>
    <t>P27-RS5</t>
  </si>
  <si>
    <t>P28-RS5</t>
  </si>
  <si>
    <t>P29-RS5</t>
  </si>
  <si>
    <t>P30-RS5</t>
  </si>
  <si>
    <t>P8-RS6</t>
  </si>
  <si>
    <t>P9-RS6</t>
  </si>
  <si>
    <t>P10-RS6</t>
  </si>
  <si>
    <t>P11-RS6</t>
  </si>
  <si>
    <t>P12-RS6</t>
  </si>
  <si>
    <t>P13-RS6</t>
  </si>
  <si>
    <t>P14-RS6</t>
  </si>
  <si>
    <t>P15-RS6</t>
  </si>
  <si>
    <t>P16-RS6</t>
  </si>
  <si>
    <t>P17-RS6</t>
  </si>
  <si>
    <t>P18-RS6</t>
  </si>
  <si>
    <t>P19-RS6</t>
  </si>
  <si>
    <t>P20-RS6</t>
  </si>
  <si>
    <t>P21-RS6</t>
  </si>
  <si>
    <t>P22-RS6</t>
  </si>
  <si>
    <t>P23-RS6</t>
  </si>
  <si>
    <t>P24-RS6</t>
  </si>
  <si>
    <t>P25-RS6</t>
  </si>
  <si>
    <t>P26-RS6</t>
  </si>
  <si>
    <t>P27-RS6</t>
  </si>
  <si>
    <t>P28-RS6</t>
  </si>
  <si>
    <t>P29-RS6</t>
  </si>
  <si>
    <t>P30-RS6</t>
  </si>
  <si>
    <t>P8-RS7</t>
  </si>
  <si>
    <t>P9-RS7</t>
  </si>
  <si>
    <t>P10-RS7</t>
  </si>
  <si>
    <t>P11-RS7</t>
  </si>
  <si>
    <t>P12-RS7</t>
  </si>
  <si>
    <t>P13-RS7</t>
  </si>
  <si>
    <t>P14-RS7</t>
  </si>
  <si>
    <t>P15-RS7</t>
  </si>
  <si>
    <t>P16-RS7</t>
  </si>
  <si>
    <t>P17-RS7</t>
  </si>
  <si>
    <t>P18-RS7</t>
  </si>
  <si>
    <t>P19-RS7</t>
  </si>
  <si>
    <t>P20-RS7</t>
  </si>
  <si>
    <t>P21-RS7</t>
  </si>
  <si>
    <t>P22-RS7</t>
  </si>
  <si>
    <t>P23-RS7</t>
  </si>
  <si>
    <t>P24-RS7</t>
  </si>
  <si>
    <t>P25-RS7</t>
  </si>
  <si>
    <t>P26-RS7</t>
  </si>
  <si>
    <t>P27-RS7</t>
  </si>
  <si>
    <t>P28-RS7</t>
  </si>
  <si>
    <t>P29-RS7</t>
  </si>
  <si>
    <t>P30-RS7</t>
  </si>
  <si>
    <t>P8-RS8</t>
  </si>
  <si>
    <t>P9-RS8</t>
  </si>
  <si>
    <t>P10-RS8</t>
  </si>
  <si>
    <t>P11-RS8</t>
  </si>
  <si>
    <t>P12-RS8</t>
  </si>
  <si>
    <t>P13-RS8</t>
  </si>
  <si>
    <t>P14-RS8</t>
  </si>
  <si>
    <t>P15-RS8</t>
  </si>
  <si>
    <t>P16-RS8</t>
  </si>
  <si>
    <t>P17-RS8</t>
  </si>
  <si>
    <t>P18-RS8</t>
  </si>
  <si>
    <t>P19-RS8</t>
  </si>
  <si>
    <t>P20-RS8</t>
  </si>
  <si>
    <t>P21-RS8</t>
  </si>
  <si>
    <t>P22-RS8</t>
  </si>
  <si>
    <t>P23-RS8</t>
  </si>
  <si>
    <t>P24-RS8</t>
  </si>
  <si>
    <t>P25-RS8</t>
  </si>
  <si>
    <t>P26-RS8</t>
  </si>
  <si>
    <t>P27-RS8</t>
  </si>
  <si>
    <t>P28-RS8</t>
  </si>
  <si>
    <t>P29-RS8</t>
  </si>
  <si>
    <t>P30-RS8</t>
  </si>
  <si>
    <t>P8-RS9</t>
  </si>
  <si>
    <t>P9-RS9</t>
  </si>
  <si>
    <t>P10-RS9</t>
  </si>
  <si>
    <t>P11-RS9</t>
  </si>
  <si>
    <t>P12-RS9</t>
  </si>
  <si>
    <t>P13-RS9</t>
  </si>
  <si>
    <t>P14-RS9</t>
  </si>
  <si>
    <t>P15-RS9</t>
  </si>
  <si>
    <t>P16-RS9</t>
  </si>
  <si>
    <t>P17-RS9</t>
  </si>
  <si>
    <t>P18-RS9</t>
  </si>
  <si>
    <t>P19-RS9</t>
  </si>
  <si>
    <t>P20-RS9</t>
  </si>
  <si>
    <t>P21-RS9</t>
  </si>
  <si>
    <t>P22-RS9</t>
  </si>
  <si>
    <t>P23-RS9</t>
  </si>
  <si>
    <t>P24-RS9</t>
  </si>
  <si>
    <t>P25-RS9</t>
  </si>
  <si>
    <t>P26-RS9</t>
  </si>
  <si>
    <t>P27-RS9</t>
  </si>
  <si>
    <t>P28-RS9</t>
  </si>
  <si>
    <t>P29-RS9</t>
  </si>
  <si>
    <t>P30-RS9</t>
  </si>
  <si>
    <t>P8-RS10</t>
  </si>
  <si>
    <t>P9-RS10</t>
  </si>
  <si>
    <t>P10-RS10</t>
  </si>
  <si>
    <t>P11-RS10</t>
  </si>
  <si>
    <t>P12-RS10</t>
  </si>
  <si>
    <t>P13-RS10</t>
  </si>
  <si>
    <t>P14-RS10</t>
  </si>
  <si>
    <t>P15-RS10</t>
  </si>
  <si>
    <t>P16-RS10</t>
  </si>
  <si>
    <t>P17-RS10</t>
  </si>
  <si>
    <t>P18-RS10</t>
  </si>
  <si>
    <t>P19-RS10</t>
  </si>
  <si>
    <t>P20-RS10</t>
  </si>
  <si>
    <t>P21-RS10</t>
  </si>
  <si>
    <t>P22-RS10</t>
  </si>
  <si>
    <t>P23-RS10</t>
  </si>
  <si>
    <t>P24-RS10</t>
  </si>
  <si>
    <t>P25-RS10</t>
  </si>
  <si>
    <t>P26-RS10</t>
  </si>
  <si>
    <t>P27-RS10</t>
  </si>
  <si>
    <t>P28-RS10</t>
  </si>
  <si>
    <t>P29-RS10</t>
  </si>
  <si>
    <t>P30-RS10</t>
  </si>
  <si>
    <t>P8-RS11</t>
  </si>
  <si>
    <t>P9-RS11</t>
  </si>
  <si>
    <t>P10-RS11</t>
  </si>
  <si>
    <t>P11-RS11</t>
  </si>
  <si>
    <t>P12-RS11</t>
  </si>
  <si>
    <t>P13-RS11</t>
  </si>
  <si>
    <t>P14-RS11</t>
  </si>
  <si>
    <t>P15-RS11</t>
  </si>
  <si>
    <t>P16-RS11</t>
  </si>
  <si>
    <t>P17-RS11</t>
  </si>
  <si>
    <t>P18-RS11</t>
  </si>
  <si>
    <t>P19-RS11</t>
  </si>
  <si>
    <t>P20-RS11</t>
  </si>
  <si>
    <t>P21-RS11</t>
  </si>
  <si>
    <t>P22-RS11</t>
  </si>
  <si>
    <t>P23-RS11</t>
  </si>
  <si>
    <t>P24-RS11</t>
  </si>
  <si>
    <t>P25-RS11</t>
  </si>
  <si>
    <t>P26-RS11</t>
  </si>
  <si>
    <t>P27-RS11</t>
  </si>
  <si>
    <t>P28-RS11</t>
  </si>
  <si>
    <t>P29-RS11</t>
  </si>
  <si>
    <t>P30-RS11</t>
  </si>
  <si>
    <t>P8-RS12</t>
  </si>
  <si>
    <t>P9-RS12</t>
  </si>
  <si>
    <t>P10-RS12</t>
  </si>
  <si>
    <t>P11-RS12</t>
  </si>
  <si>
    <t>P12-RS12</t>
  </si>
  <si>
    <t>P13-RS12</t>
  </si>
  <si>
    <t>P14-RS12</t>
  </si>
  <si>
    <t>P15-RS12</t>
  </si>
  <si>
    <t>P16-RS12</t>
  </si>
  <si>
    <t>P17-RS12</t>
  </si>
  <si>
    <t>P18-RS12</t>
  </si>
  <si>
    <t>P19-RS12</t>
  </si>
  <si>
    <t>P20-RS12</t>
  </si>
  <si>
    <t>P21-RS12</t>
  </si>
  <si>
    <t>P22-RS12</t>
  </si>
  <si>
    <t>P23-RS12</t>
  </si>
  <si>
    <t>P24-RS12</t>
  </si>
  <si>
    <t>P25-RS12</t>
  </si>
  <si>
    <t>P26-RS12</t>
  </si>
  <si>
    <t>P27-RS12</t>
  </si>
  <si>
    <t>P28-RS12</t>
  </si>
  <si>
    <t>P29-RS12</t>
  </si>
  <si>
    <t>P30-RS12</t>
  </si>
  <si>
    <t>P8-RS13</t>
  </si>
  <si>
    <t>P9-RS13</t>
  </si>
  <si>
    <t>P10-RS13</t>
  </si>
  <si>
    <t>P11-RS13</t>
  </si>
  <si>
    <t>P12-RS13</t>
  </si>
  <si>
    <t>P13-RS13</t>
  </si>
  <si>
    <t>P14-RS13</t>
  </si>
  <si>
    <t>P15-RS13</t>
  </si>
  <si>
    <t>P16-RS13</t>
  </si>
  <si>
    <t>P17-RS13</t>
  </si>
  <si>
    <t>P18-RS13</t>
  </si>
  <si>
    <t>P19-RS13</t>
  </si>
  <si>
    <t>P20-RS13</t>
  </si>
  <si>
    <t>P21-RS13</t>
  </si>
  <si>
    <t>P22-RS13</t>
  </si>
  <si>
    <t>P23-RS13</t>
  </si>
  <si>
    <t>P24-RS13</t>
  </si>
  <si>
    <t>P25-RS13</t>
  </si>
  <si>
    <t>P26-RS13</t>
  </si>
  <si>
    <t>P27-RS13</t>
  </si>
  <si>
    <t>P28-RS13</t>
  </si>
  <si>
    <t>P29-RS13</t>
  </si>
  <si>
    <t>P30-RS13</t>
  </si>
  <si>
    <t>P8-RS14</t>
  </si>
  <si>
    <t>P9-RS14</t>
  </si>
  <si>
    <t>P10-RS14</t>
  </si>
  <si>
    <t>P11-RS14</t>
  </si>
  <si>
    <t>P12-RS14</t>
  </si>
  <si>
    <t>P13-RS14</t>
  </si>
  <si>
    <t>P14-RS14</t>
  </si>
  <si>
    <t>P15-RS14</t>
  </si>
  <si>
    <t>P16-RS14</t>
  </si>
  <si>
    <t>P17-RS14</t>
  </si>
  <si>
    <t>P18-RS14</t>
  </si>
  <si>
    <t>P19-RS14</t>
  </si>
  <si>
    <t>P20-RS14</t>
  </si>
  <si>
    <t>P21-RS14</t>
  </si>
  <si>
    <t>P22-RS14</t>
  </si>
  <si>
    <t>P23-RS14</t>
  </si>
  <si>
    <t>P24-RS14</t>
  </si>
  <si>
    <t>P25-RS14</t>
  </si>
  <si>
    <t>P26-RS14</t>
  </si>
  <si>
    <t>P27-RS14</t>
  </si>
  <si>
    <t>P28-RS14</t>
  </si>
  <si>
    <t>P29-RS14</t>
  </si>
  <si>
    <t>P30-RS14</t>
  </si>
  <si>
    <t>P8-RS15</t>
  </si>
  <si>
    <t>P9-RS15</t>
  </si>
  <si>
    <t>P10-RS15</t>
  </si>
  <si>
    <t>P11-RS15</t>
  </si>
  <si>
    <t>P12-RS15</t>
  </si>
  <si>
    <t>P13-RS15</t>
  </si>
  <si>
    <t>P14-RS15</t>
  </si>
  <si>
    <t>P15-RS15</t>
  </si>
  <si>
    <t>P16-RS15</t>
  </si>
  <si>
    <t>P17-RS15</t>
  </si>
  <si>
    <t>P18-RS15</t>
  </si>
  <si>
    <t>P19-RS15</t>
  </si>
  <si>
    <t>P20-RS15</t>
  </si>
  <si>
    <t>P21-RS15</t>
  </si>
  <si>
    <t>P22-RS15</t>
  </si>
  <si>
    <t>P23-RS15</t>
  </si>
  <si>
    <t>P24-RS15</t>
  </si>
  <si>
    <t>P25-RS15</t>
  </si>
  <si>
    <t>P26-RS15</t>
  </si>
  <si>
    <t>P27-RS15</t>
  </si>
  <si>
    <t>P28-RS15</t>
  </si>
  <si>
    <t>P29-RS15</t>
  </si>
  <si>
    <t>P30-RS15</t>
  </si>
  <si>
    <t>P8-RS16</t>
  </si>
  <si>
    <t>P9-RS16</t>
  </si>
  <si>
    <t>P10-RS16</t>
  </si>
  <si>
    <t>P11-RS16</t>
  </si>
  <si>
    <t>P12-RS16</t>
  </si>
  <si>
    <t>P13-RS16</t>
  </si>
  <si>
    <t>P14-RS16</t>
  </si>
  <si>
    <t>P15-RS16</t>
  </si>
  <si>
    <t>P16-RS16</t>
  </si>
  <si>
    <t>P17-RS16</t>
  </si>
  <si>
    <t>P18-RS16</t>
  </si>
  <si>
    <t>P19-RS16</t>
  </si>
  <si>
    <t>P20-RS16</t>
  </si>
  <si>
    <t>P21-RS16</t>
  </si>
  <si>
    <t>P22-RS16</t>
  </si>
  <si>
    <t>P23-RS16</t>
  </si>
  <si>
    <t>P24-RS16</t>
  </si>
  <si>
    <t>P25-RS16</t>
  </si>
  <si>
    <t>P26-RS16</t>
  </si>
  <si>
    <t>P27-RS16</t>
  </si>
  <si>
    <t>P28-RS16</t>
  </si>
  <si>
    <t>P29-RS16</t>
  </si>
  <si>
    <t>P30-RS16</t>
  </si>
  <si>
    <t>P8-RS17</t>
  </si>
  <si>
    <t>P9-RS17</t>
  </si>
  <si>
    <t>P10-RS17</t>
  </si>
  <si>
    <t>P11-RS17</t>
  </si>
  <si>
    <t>P12-RS17</t>
  </si>
  <si>
    <t>P13-RS17</t>
  </si>
  <si>
    <t>P14-RS17</t>
  </si>
  <si>
    <t>P15-RS17</t>
  </si>
  <si>
    <t>P16-RS17</t>
  </si>
  <si>
    <t>P17-RS17</t>
  </si>
  <si>
    <t>P18-RS17</t>
  </si>
  <si>
    <t>P19-RS17</t>
  </si>
  <si>
    <t>P20-RS17</t>
  </si>
  <si>
    <t>P21-RS17</t>
  </si>
  <si>
    <t>P22-RS17</t>
  </si>
  <si>
    <t>P23-RS17</t>
  </si>
  <si>
    <t>P24-RS17</t>
  </si>
  <si>
    <t>P25-RS17</t>
  </si>
  <si>
    <t>P26-RS17</t>
  </si>
  <si>
    <t>P27-RS17</t>
  </si>
  <si>
    <t>P28-RS17</t>
  </si>
  <si>
    <t>P29-RS17</t>
  </si>
  <si>
    <t>P30-RS17</t>
  </si>
  <si>
    <t>P8-RS18</t>
  </si>
  <si>
    <t>P9-RS18</t>
  </si>
  <si>
    <t>P10-RS18</t>
  </si>
  <si>
    <t>P11-RS18</t>
  </si>
  <si>
    <t>P12-RS18</t>
  </si>
  <si>
    <t>P13-RS18</t>
  </si>
  <si>
    <t>P14-RS18</t>
  </si>
  <si>
    <t>P15-RS18</t>
  </si>
  <si>
    <t>P16-RS18</t>
  </si>
  <si>
    <t>P17-RS18</t>
  </si>
  <si>
    <t>P18-RS18</t>
  </si>
  <si>
    <t>P19-RS18</t>
  </si>
  <si>
    <t>P20-RS18</t>
  </si>
  <si>
    <t>P21-RS18</t>
  </si>
  <si>
    <t>P22-RS18</t>
  </si>
  <si>
    <t>P23-RS18</t>
  </si>
  <si>
    <t>P24-RS18</t>
  </si>
  <si>
    <t>P25-RS18</t>
  </si>
  <si>
    <t>P26-RS18</t>
  </si>
  <si>
    <t>P27-RS18</t>
  </si>
  <si>
    <t>P28-RS18</t>
  </si>
  <si>
    <t>P29-RS18</t>
  </si>
  <si>
    <t>P30-RS18</t>
  </si>
  <si>
    <t>P8-RS19</t>
  </si>
  <si>
    <t>P9-RS19</t>
  </si>
  <si>
    <t>P10-RS19</t>
  </si>
  <si>
    <t>P11-RS19</t>
  </si>
  <si>
    <t>P12-RS19</t>
  </si>
  <si>
    <t>P13-RS19</t>
  </si>
  <si>
    <t>P14-RS19</t>
  </si>
  <si>
    <t>P15-RS19</t>
  </si>
  <si>
    <t>P16-RS19</t>
  </si>
  <si>
    <t>P17-RS19</t>
  </si>
  <si>
    <t>P18-RS19</t>
  </si>
  <si>
    <t>P19-RS19</t>
  </si>
  <si>
    <t>P20-RS19</t>
  </si>
  <si>
    <t>P21-RS19</t>
  </si>
  <si>
    <t>P22-RS19</t>
  </si>
  <si>
    <t>P23-RS19</t>
  </si>
  <si>
    <t>P24-RS19</t>
  </si>
  <si>
    <t>P25-RS19</t>
  </si>
  <si>
    <t>P26-RS19</t>
  </si>
  <si>
    <t>P27-RS19</t>
  </si>
  <si>
    <t>P28-RS19</t>
  </si>
  <si>
    <t>P29-RS19</t>
  </si>
  <si>
    <t>P30-RS19</t>
  </si>
  <si>
    <t>P8-RS20</t>
  </si>
  <si>
    <t>P9-RS20</t>
  </si>
  <si>
    <t>P10-RS20</t>
  </si>
  <si>
    <t>P11-RS20</t>
  </si>
  <si>
    <t>P12-RS20</t>
  </si>
  <si>
    <t>P13-RS20</t>
  </si>
  <si>
    <t>P14-RS20</t>
  </si>
  <si>
    <t>P15-RS20</t>
  </si>
  <si>
    <t>P16-RS20</t>
  </si>
  <si>
    <t>P17-RS20</t>
  </si>
  <si>
    <t>P18-RS20</t>
  </si>
  <si>
    <t>P19-RS20</t>
  </si>
  <si>
    <t>P20-RS20</t>
  </si>
  <si>
    <t>P21-RS20</t>
  </si>
  <si>
    <t>P22-RS20</t>
  </si>
  <si>
    <t>P23-RS20</t>
  </si>
  <si>
    <t>P24-RS20</t>
  </si>
  <si>
    <t>P25-RS20</t>
  </si>
  <si>
    <t>P26-RS20</t>
  </si>
  <si>
    <t>P27-RS20</t>
  </si>
  <si>
    <t>P28-RS20</t>
  </si>
  <si>
    <t>P29-RS20</t>
  </si>
  <si>
    <t>P30-RS20</t>
  </si>
  <si>
    <t>P8-RS21</t>
  </si>
  <si>
    <t>P9-RS21</t>
  </si>
  <si>
    <t>P10-RS21</t>
  </si>
  <si>
    <t>P11-RS21</t>
  </si>
  <si>
    <t>P12-RS21</t>
  </si>
  <si>
    <t>P13-RS21</t>
  </si>
  <si>
    <t>P14-RS21</t>
  </si>
  <si>
    <t>P15-RS21</t>
  </si>
  <si>
    <t>P16-RS21</t>
  </si>
  <si>
    <t>P17-RS21</t>
  </si>
  <si>
    <t>P18-RS21</t>
  </si>
  <si>
    <t>P19-RS21</t>
  </si>
  <si>
    <t>P20-RS21</t>
  </si>
  <si>
    <t>P21-RS21</t>
  </si>
  <si>
    <t>P22-RS21</t>
  </si>
  <si>
    <t>P23-RS21</t>
  </si>
  <si>
    <t>P24-RS21</t>
  </si>
  <si>
    <t>P25-RS21</t>
  </si>
  <si>
    <t>P26-RS21</t>
  </si>
  <si>
    <t>P27-RS21</t>
  </si>
  <si>
    <t>P28-RS21</t>
  </si>
  <si>
    <t>P29-RS21</t>
  </si>
  <si>
    <t>P30-RS21</t>
  </si>
  <si>
    <t>P8-RS22</t>
  </si>
  <si>
    <t>P9-RS22</t>
  </si>
  <si>
    <t>P10-RS22</t>
  </si>
  <si>
    <t>P11-RS22</t>
  </si>
  <si>
    <t>P12-RS22</t>
  </si>
  <si>
    <t>P13-RS22</t>
  </si>
  <si>
    <t>P14-RS22</t>
  </si>
  <si>
    <t>P15-RS22</t>
  </si>
  <si>
    <t>P16-RS22</t>
  </si>
  <si>
    <t>P17-RS22</t>
  </si>
  <si>
    <t>P18-RS22</t>
  </si>
  <si>
    <t>P19-RS22</t>
  </si>
  <si>
    <t>P20-RS22</t>
  </si>
  <si>
    <t>P21-RS22</t>
  </si>
  <si>
    <t>P22-RS22</t>
  </si>
  <si>
    <t>P23-RS22</t>
  </si>
  <si>
    <t>P24-RS22</t>
  </si>
  <si>
    <t>P25-RS22</t>
  </si>
  <si>
    <t>P26-RS22</t>
  </si>
  <si>
    <t>P27-RS22</t>
  </si>
  <si>
    <t>P28-RS22</t>
  </si>
  <si>
    <t>P29-RS22</t>
  </si>
  <si>
    <t>P30-RS22</t>
  </si>
  <si>
    <t>P8-RS23</t>
  </si>
  <si>
    <t>P9-RS23</t>
  </si>
  <si>
    <t>P10-RS23</t>
  </si>
  <si>
    <t>P11-RS23</t>
  </si>
  <si>
    <t>P12-RS23</t>
  </si>
  <si>
    <t>P13-RS23</t>
  </si>
  <si>
    <t>P14-RS23</t>
  </si>
  <si>
    <t>P15-RS23</t>
  </si>
  <si>
    <t>P16-RS23</t>
  </si>
  <si>
    <t>P17-RS23</t>
  </si>
  <si>
    <t>P18-RS23</t>
  </si>
  <si>
    <t>P19-RS23</t>
  </si>
  <si>
    <t>P20-RS23</t>
  </si>
  <si>
    <t>P21-RS23</t>
  </si>
  <si>
    <t>P22-RS23</t>
  </si>
  <si>
    <t>P23-RS23</t>
  </si>
  <si>
    <t>P24-RS23</t>
  </si>
  <si>
    <t>P25-RS23</t>
  </si>
  <si>
    <t>P26-RS23</t>
  </si>
  <si>
    <t>P27-RS23</t>
  </si>
  <si>
    <t>P28-RS23</t>
  </si>
  <si>
    <t>P29-RS23</t>
  </si>
  <si>
    <t>P30-RS23</t>
  </si>
  <si>
    <t>P8-RS24</t>
  </si>
  <si>
    <t>P9-RS24</t>
  </si>
  <si>
    <t>P10-RS24</t>
  </si>
  <si>
    <t>P11-RS24</t>
  </si>
  <si>
    <t>P12-RS24</t>
  </si>
  <si>
    <t>P13-RS24</t>
  </si>
  <si>
    <t>P14-RS24</t>
  </si>
  <si>
    <t>P15-RS24</t>
  </si>
  <si>
    <t>P16-RS24</t>
  </si>
  <si>
    <t>P17-RS24</t>
  </si>
  <si>
    <t>P18-RS24</t>
  </si>
  <si>
    <t>P19-RS24</t>
  </si>
  <si>
    <t>P20-RS24</t>
  </si>
  <si>
    <t>P21-RS24</t>
  </si>
  <si>
    <t>P22-RS24</t>
  </si>
  <si>
    <t>P23-RS24</t>
  </si>
  <si>
    <t>P24-RS24</t>
  </si>
  <si>
    <t>P25-RS24</t>
  </si>
  <si>
    <t>P26-RS24</t>
  </si>
  <si>
    <t>P27-RS24</t>
  </si>
  <si>
    <t>P28-RS24</t>
  </si>
  <si>
    <t>P29-RS24</t>
  </si>
  <si>
    <t>P30-RS24</t>
  </si>
  <si>
    <t>P8-RS25</t>
  </si>
  <si>
    <t>P9-RS25</t>
  </si>
  <si>
    <t>P10-RS25</t>
  </si>
  <si>
    <t>P11-RS25</t>
  </si>
  <si>
    <t>P12-RS25</t>
  </si>
  <si>
    <t>P13-RS25</t>
  </si>
  <si>
    <t>P14-RS25</t>
  </si>
  <si>
    <t>P15-RS25</t>
  </si>
  <si>
    <t>P16-RS25</t>
  </si>
  <si>
    <t>P17-RS25</t>
  </si>
  <si>
    <t>P18-RS25</t>
  </si>
  <si>
    <t>P19-RS25</t>
  </si>
  <si>
    <t>P20-RS25</t>
  </si>
  <si>
    <t>P21-RS25</t>
  </si>
  <si>
    <t>P22-RS25</t>
  </si>
  <si>
    <t>P23-RS25</t>
  </si>
  <si>
    <t>P24-RS25</t>
  </si>
  <si>
    <t>P25-RS25</t>
  </si>
  <si>
    <t>P26-RS25</t>
  </si>
  <si>
    <t>P27-RS25</t>
  </si>
  <si>
    <t>P28-RS25</t>
  </si>
  <si>
    <t>P29-RS25</t>
  </si>
  <si>
    <t>P30-RS25</t>
  </si>
  <si>
    <t>P31-RS1</t>
  </si>
  <si>
    <t>P32-RS1</t>
  </si>
  <si>
    <t>P33-RS1</t>
  </si>
  <si>
    <t>P34-RS1</t>
  </si>
  <si>
    <t>P35-RS1</t>
  </si>
  <si>
    <t>P36-RS1</t>
  </si>
  <si>
    <t>P37-RS1</t>
  </si>
  <si>
    <t>P38-RS1</t>
  </si>
  <si>
    <t>P39-RS1</t>
  </si>
  <si>
    <t>P40-RS1</t>
  </si>
  <si>
    <t>P41-RS1</t>
  </si>
  <si>
    <t>P42-RS1</t>
  </si>
  <si>
    <t>P43-RS1</t>
  </si>
  <si>
    <t>P44-RS1</t>
  </si>
  <si>
    <t>P45-RS1</t>
  </si>
  <si>
    <t>P46-RS1</t>
  </si>
  <si>
    <t>P47-RS1</t>
  </si>
  <si>
    <t>P48-RS1</t>
  </si>
  <si>
    <t>P49-RS1</t>
  </si>
  <si>
    <t>P50-RS1</t>
  </si>
  <si>
    <t>P51-RS1</t>
  </si>
  <si>
    <t>P52-RS1</t>
  </si>
  <si>
    <t>P53-RS1</t>
  </si>
  <si>
    <t>P54-RS1</t>
  </si>
  <si>
    <t>P55-RS1</t>
  </si>
  <si>
    <t>P56-RS1</t>
  </si>
  <si>
    <t>P57-RS1</t>
  </si>
  <si>
    <t>P58-RS1</t>
  </si>
  <si>
    <t>P59-RS1</t>
  </si>
  <si>
    <t>P60-RS1</t>
  </si>
  <si>
    <t>P61-RS1</t>
  </si>
  <si>
    <t>P62-RS1</t>
  </si>
  <si>
    <t>P63-RS1</t>
  </si>
  <si>
    <t>P64-RS1</t>
  </si>
  <si>
    <t>P65-RS1</t>
  </si>
  <si>
    <t>P66-RS1</t>
  </si>
  <si>
    <t>P67-RS1</t>
  </si>
  <si>
    <t>P68-RS1</t>
  </si>
  <si>
    <t>P69-RS1</t>
  </si>
  <si>
    <t>P70-RS1</t>
  </si>
  <si>
    <t>P71-RS1</t>
  </si>
  <si>
    <t>P72-RS1</t>
  </si>
  <si>
    <t>P73-RS1</t>
  </si>
  <si>
    <t>P74-RS1</t>
  </si>
  <si>
    <t>P75-RS1</t>
  </si>
  <si>
    <t>P76-RS1</t>
  </si>
  <si>
    <t>P77-RS1</t>
  </si>
  <si>
    <t>P78-RS1</t>
  </si>
  <si>
    <t>P79-RS1</t>
  </si>
  <si>
    <t>P80-RS1</t>
  </si>
  <si>
    <t>P81-RS1</t>
  </si>
  <si>
    <t>P82-RS1</t>
  </si>
  <si>
    <t>P83-RS1</t>
  </si>
  <si>
    <t>P84-RS1</t>
  </si>
  <si>
    <t>P85-RS1</t>
  </si>
  <si>
    <t>P86-RS1</t>
  </si>
  <si>
    <t>P87-RS1</t>
  </si>
  <si>
    <t>P88-RS1</t>
  </si>
  <si>
    <t>P89-RS1</t>
  </si>
  <si>
    <t>P90-RS1</t>
  </si>
  <si>
    <t>P31-RS2</t>
  </si>
  <si>
    <t>P32-RS2</t>
  </si>
  <si>
    <t>P33-RS2</t>
  </si>
  <si>
    <t>P31-RS3</t>
  </si>
  <si>
    <t>P32-RS3</t>
  </si>
  <si>
    <t>P33-RS3</t>
  </si>
  <si>
    <t>P31-RS4</t>
  </si>
  <si>
    <t>P32-RS4</t>
  </si>
  <si>
    <t>P33-RS4</t>
  </si>
  <si>
    <t>P31-RS5</t>
  </si>
  <si>
    <t>P32-RS5</t>
  </si>
  <si>
    <t>P33-RS5</t>
  </si>
  <si>
    <t>P31-RS6</t>
  </si>
  <si>
    <t>P32-RS6</t>
  </si>
  <si>
    <t>P33-RS6</t>
  </si>
  <si>
    <t>P31-RS7</t>
  </si>
  <si>
    <t>P32-RS7</t>
  </si>
  <si>
    <t>P33-RS7</t>
  </si>
  <si>
    <t>P31-RS8</t>
  </si>
  <si>
    <t>P32-RS8</t>
  </si>
  <si>
    <t>P33-RS8</t>
  </si>
  <si>
    <t>P31-RS9</t>
  </si>
  <si>
    <t>P32-RS9</t>
  </si>
  <si>
    <t>P33-RS9</t>
  </si>
  <si>
    <t>P31-RS10</t>
  </si>
  <si>
    <t>P32-RS10</t>
  </si>
  <si>
    <t>P33-RS10</t>
  </si>
  <si>
    <t>P31-RS11</t>
  </si>
  <si>
    <t>P32-RS11</t>
  </si>
  <si>
    <t>P33-RS11</t>
  </si>
  <si>
    <t>P31-RS12</t>
  </si>
  <si>
    <t>P32-RS12</t>
  </si>
  <si>
    <t>P33-RS12</t>
  </si>
  <si>
    <t>P31-RS13</t>
  </si>
  <si>
    <t>P32-RS13</t>
  </si>
  <si>
    <t>P33-RS13</t>
  </si>
  <si>
    <t>P31-RS14</t>
  </si>
  <si>
    <t>P32-RS14</t>
  </si>
  <si>
    <t>P33-RS14</t>
  </si>
  <si>
    <t>P31-RS15</t>
  </si>
  <si>
    <t>P32-RS15</t>
  </si>
  <si>
    <t>P33-RS15</t>
  </si>
  <si>
    <t>P31-RS16</t>
  </si>
  <si>
    <t>P32-RS16</t>
  </si>
  <si>
    <t>P33-RS16</t>
  </si>
  <si>
    <t>P31-RS17</t>
  </si>
  <si>
    <t>P32-RS17</t>
  </si>
  <si>
    <t>P33-RS17</t>
  </si>
  <si>
    <t>P31-RS18</t>
  </si>
  <si>
    <t>P32-RS18</t>
  </si>
  <si>
    <t>P33-RS18</t>
  </si>
  <si>
    <t>P31-RS19</t>
  </si>
  <si>
    <t>P32-RS19</t>
  </si>
  <si>
    <t>P33-RS19</t>
  </si>
  <si>
    <t>P31-RS20</t>
  </si>
  <si>
    <t>P32-RS20</t>
  </si>
  <si>
    <t>P33-RS20</t>
  </si>
  <si>
    <t>P31-RS21</t>
  </si>
  <si>
    <t>P32-RS21</t>
  </si>
  <si>
    <t>P33-RS21</t>
  </si>
  <si>
    <t>P31-RS22</t>
  </si>
  <si>
    <t>P32-RS22</t>
  </si>
  <si>
    <t>P33-RS22</t>
  </si>
  <si>
    <t>P31-RS23</t>
  </si>
  <si>
    <t>P32-RS23</t>
  </si>
  <si>
    <t>P33-RS23</t>
  </si>
  <si>
    <t>P31-RS24</t>
  </si>
  <si>
    <t>P32-RS24</t>
  </si>
  <si>
    <t>P33-RS24</t>
  </si>
  <si>
    <t>P31-RS25</t>
  </si>
  <si>
    <t>P32-RS25</t>
  </si>
  <si>
    <t>P33-RS25</t>
  </si>
  <si>
    <t>P34-RS2</t>
  </si>
  <si>
    <t>P35-RS2</t>
  </si>
  <si>
    <t>P36-RS2</t>
  </si>
  <si>
    <t>P37-RS2</t>
  </si>
  <si>
    <t>P38-RS2</t>
  </si>
  <si>
    <t>P39-RS2</t>
  </si>
  <si>
    <t>P40-RS2</t>
  </si>
  <si>
    <t>P41-RS2</t>
  </si>
  <si>
    <t>P42-RS2</t>
  </si>
  <si>
    <t>P43-RS2</t>
  </si>
  <si>
    <t>P44-RS2</t>
  </si>
  <si>
    <t>P45-RS2</t>
  </si>
  <si>
    <t>P46-RS2</t>
  </si>
  <si>
    <t>P47-RS2</t>
  </si>
  <si>
    <t>P48-RS2</t>
  </si>
  <si>
    <t>P49-RS2</t>
  </si>
  <si>
    <t>P50-RS2</t>
  </si>
  <si>
    <t>P51-RS2</t>
  </si>
  <si>
    <t>P52-RS2</t>
  </si>
  <si>
    <t>P53-RS2</t>
  </si>
  <si>
    <t>P54-RS2</t>
  </si>
  <si>
    <t>P55-RS2</t>
  </si>
  <si>
    <t>P56-RS2</t>
  </si>
  <si>
    <t>P57-RS2</t>
  </si>
  <si>
    <t>P58-RS2</t>
  </si>
  <si>
    <t>P59-RS2</t>
  </si>
  <si>
    <t>P60-RS2</t>
  </si>
  <si>
    <t>P61-RS2</t>
  </si>
  <si>
    <t>P62-RS2</t>
  </si>
  <si>
    <t>P63-RS2</t>
  </si>
  <si>
    <t>P64-RS2</t>
  </si>
  <si>
    <t>P65-RS2</t>
  </si>
  <si>
    <t>P66-RS2</t>
  </si>
  <si>
    <t>P67-RS2</t>
  </si>
  <si>
    <t>P34-RS3</t>
  </si>
  <si>
    <t>P35-RS3</t>
  </si>
  <si>
    <t>P36-RS3</t>
  </si>
  <si>
    <t>P37-RS3</t>
  </si>
  <si>
    <t>P38-RS3</t>
  </si>
  <si>
    <t>P39-RS3</t>
  </si>
  <si>
    <t>P40-RS3</t>
  </si>
  <si>
    <t>P41-RS3</t>
  </si>
  <si>
    <t>P42-RS3</t>
  </si>
  <si>
    <t>P43-RS3</t>
  </si>
  <si>
    <t>P44-RS3</t>
  </si>
  <si>
    <t>P45-RS3</t>
  </si>
  <si>
    <t>P46-RS3</t>
  </si>
  <si>
    <t>P47-RS3</t>
  </si>
  <si>
    <t>P48-RS3</t>
  </si>
  <si>
    <t>P49-RS3</t>
  </si>
  <si>
    <t>P50-RS3</t>
  </si>
  <si>
    <t>P51-RS3</t>
  </si>
  <si>
    <t>P52-RS3</t>
  </si>
  <si>
    <t>P53-RS3</t>
  </si>
  <si>
    <t>P54-RS3</t>
  </si>
  <si>
    <t>P55-RS3</t>
  </si>
  <si>
    <t>P56-RS3</t>
  </si>
  <si>
    <t>P57-RS3</t>
  </si>
  <si>
    <t>P58-RS3</t>
  </si>
  <si>
    <t>P59-RS3</t>
  </si>
  <si>
    <t>P60-RS3</t>
  </si>
  <si>
    <t>P61-RS3</t>
  </si>
  <si>
    <t>P62-RS3</t>
  </si>
  <si>
    <t>P63-RS3</t>
  </si>
  <si>
    <t>P64-RS3</t>
  </si>
  <si>
    <t>P65-RS3</t>
  </si>
  <si>
    <t>P66-RS3</t>
  </si>
  <si>
    <t>P67-RS3</t>
  </si>
  <si>
    <t>P34-RS4</t>
  </si>
  <si>
    <t>P35-RS4</t>
  </si>
  <si>
    <t>P36-RS4</t>
  </si>
  <si>
    <t>P37-RS4</t>
  </si>
  <si>
    <t>P38-RS4</t>
  </si>
  <si>
    <t>P39-RS4</t>
  </si>
  <si>
    <t>P40-RS4</t>
  </si>
  <si>
    <t>P41-RS4</t>
  </si>
  <si>
    <t>P42-RS4</t>
  </si>
  <si>
    <t>P43-RS4</t>
  </si>
  <si>
    <t>P44-RS4</t>
  </si>
  <si>
    <t>P45-RS4</t>
  </si>
  <si>
    <t>P46-RS4</t>
  </si>
  <si>
    <t>P47-RS4</t>
  </si>
  <si>
    <t>P48-RS4</t>
  </si>
  <si>
    <t>P49-RS4</t>
  </si>
  <si>
    <t>P50-RS4</t>
  </si>
  <si>
    <t>P51-RS4</t>
  </si>
  <si>
    <t>P52-RS4</t>
  </si>
  <si>
    <t>P53-RS4</t>
  </si>
  <si>
    <t>P54-RS4</t>
  </si>
  <si>
    <t>P55-RS4</t>
  </si>
  <si>
    <t>P56-RS4</t>
  </si>
  <si>
    <t>P57-RS4</t>
  </si>
  <si>
    <t>P58-RS4</t>
  </si>
  <si>
    <t>P59-RS4</t>
  </si>
  <si>
    <t>P60-RS4</t>
  </si>
  <si>
    <t>P61-RS4</t>
  </si>
  <si>
    <t>P62-RS4</t>
  </si>
  <si>
    <t>P63-RS4</t>
  </si>
  <si>
    <t>P64-RS4</t>
  </si>
  <si>
    <t>P65-RS4</t>
  </si>
  <si>
    <t>P66-RS4</t>
  </si>
  <si>
    <t>P67-RS4</t>
  </si>
  <si>
    <t>P34-RS5</t>
  </si>
  <si>
    <t>P35-RS5</t>
  </si>
  <si>
    <t>P36-RS5</t>
  </si>
  <si>
    <t>P37-RS5</t>
  </si>
  <si>
    <t>P38-RS5</t>
  </si>
  <si>
    <t>P39-RS5</t>
  </si>
  <si>
    <t>P40-RS5</t>
  </si>
  <si>
    <t>P41-RS5</t>
  </si>
  <si>
    <t>P42-RS5</t>
  </si>
  <si>
    <t>P43-RS5</t>
  </si>
  <si>
    <t>P44-RS5</t>
  </si>
  <si>
    <t>P45-RS5</t>
  </si>
  <si>
    <t>P46-RS5</t>
  </si>
  <si>
    <t>P47-RS5</t>
  </si>
  <si>
    <t>P48-RS5</t>
  </si>
  <si>
    <t>P49-RS5</t>
  </si>
  <si>
    <t>P50-RS5</t>
  </si>
  <si>
    <t>P51-RS5</t>
  </si>
  <si>
    <t>P52-RS5</t>
  </si>
  <si>
    <t>P53-RS5</t>
  </si>
  <si>
    <t>P54-RS5</t>
  </si>
  <si>
    <t>P55-RS5</t>
  </si>
  <si>
    <t>P56-RS5</t>
  </si>
  <si>
    <t>P57-RS5</t>
  </si>
  <si>
    <t>P58-RS5</t>
  </si>
  <si>
    <t>P59-RS5</t>
  </si>
  <si>
    <t>P60-RS5</t>
  </si>
  <si>
    <t>P61-RS5</t>
  </si>
  <si>
    <t>P62-RS5</t>
  </si>
  <si>
    <t>P63-RS5</t>
  </si>
  <si>
    <t>P64-RS5</t>
  </si>
  <si>
    <t>P65-RS5</t>
  </si>
  <si>
    <t>P66-RS5</t>
  </si>
  <si>
    <t>P67-RS5</t>
  </si>
  <si>
    <t>P34-RS6</t>
  </si>
  <si>
    <t>P35-RS6</t>
  </si>
  <si>
    <t>P36-RS6</t>
  </si>
  <si>
    <t>P37-RS6</t>
  </si>
  <si>
    <t>P38-RS6</t>
  </si>
  <si>
    <t>P39-RS6</t>
  </si>
  <si>
    <t>P40-RS6</t>
  </si>
  <si>
    <t>P41-RS6</t>
  </si>
  <si>
    <t>P42-RS6</t>
  </si>
  <si>
    <t>P43-RS6</t>
  </si>
  <si>
    <t>P44-RS6</t>
  </si>
  <si>
    <t>P45-RS6</t>
  </si>
  <si>
    <t>P46-RS6</t>
  </si>
  <si>
    <t>P47-RS6</t>
  </si>
  <si>
    <t>P48-RS6</t>
  </si>
  <si>
    <t>P49-RS6</t>
  </si>
  <si>
    <t>P50-RS6</t>
  </si>
  <si>
    <t>P51-RS6</t>
  </si>
  <si>
    <t>P52-RS6</t>
  </si>
  <si>
    <t>P53-RS6</t>
  </si>
  <si>
    <t>P54-RS6</t>
  </si>
  <si>
    <t>P55-RS6</t>
  </si>
  <si>
    <t>P56-RS6</t>
  </si>
  <si>
    <t>P57-RS6</t>
  </si>
  <si>
    <t>P58-RS6</t>
  </si>
  <si>
    <t>P59-RS6</t>
  </si>
  <si>
    <t>P60-RS6</t>
  </si>
  <si>
    <t>P61-RS6</t>
  </si>
  <si>
    <t>P62-RS6</t>
  </si>
  <si>
    <t>P63-RS6</t>
  </si>
  <si>
    <t>P64-RS6</t>
  </si>
  <si>
    <t>P65-RS6</t>
  </si>
  <si>
    <t>P66-RS6</t>
  </si>
  <si>
    <t>P67-RS6</t>
  </si>
  <si>
    <t>P34-RS7</t>
  </si>
  <si>
    <t>P35-RS7</t>
  </si>
  <si>
    <t>P36-RS7</t>
  </si>
  <si>
    <t>P37-RS7</t>
  </si>
  <si>
    <t>P38-RS7</t>
  </si>
  <si>
    <t>P39-RS7</t>
  </si>
  <si>
    <t>P40-RS7</t>
  </si>
  <si>
    <t>P41-RS7</t>
  </si>
  <si>
    <t>P42-RS7</t>
  </si>
  <si>
    <t>P43-RS7</t>
  </si>
  <si>
    <t>P44-RS7</t>
  </si>
  <si>
    <t>P45-RS7</t>
  </si>
  <si>
    <t>P46-RS7</t>
  </si>
  <si>
    <t>P47-RS7</t>
  </si>
  <si>
    <t>P48-RS7</t>
  </si>
  <si>
    <t>P49-RS7</t>
  </si>
  <si>
    <t>P50-RS7</t>
  </si>
  <si>
    <t>P51-RS7</t>
  </si>
  <si>
    <t>P52-RS7</t>
  </si>
  <si>
    <t>P53-RS7</t>
  </si>
  <si>
    <t>P54-RS7</t>
  </si>
  <si>
    <t>P55-RS7</t>
  </si>
  <si>
    <t>P56-RS7</t>
  </si>
  <si>
    <t>P57-RS7</t>
  </si>
  <si>
    <t>P58-RS7</t>
  </si>
  <si>
    <t>P59-RS7</t>
  </si>
  <si>
    <t>P60-RS7</t>
  </si>
  <si>
    <t>P61-RS7</t>
  </si>
  <si>
    <t>P62-RS7</t>
  </si>
  <si>
    <t>P63-RS7</t>
  </si>
  <si>
    <t>P64-RS7</t>
  </si>
  <si>
    <t>P65-RS7</t>
  </si>
  <si>
    <t>P66-RS7</t>
  </si>
  <si>
    <t>P67-RS7</t>
  </si>
  <si>
    <t>P34-RS8</t>
  </si>
  <si>
    <t>P35-RS8</t>
  </si>
  <si>
    <t>P36-RS8</t>
  </si>
  <si>
    <t>P37-RS8</t>
  </si>
  <si>
    <t>P38-RS8</t>
  </si>
  <si>
    <t>P39-RS8</t>
  </si>
  <si>
    <t>P40-RS8</t>
  </si>
  <si>
    <t>P41-RS8</t>
  </si>
  <si>
    <t>P42-RS8</t>
  </si>
  <si>
    <t>P43-RS8</t>
  </si>
  <si>
    <t>P44-RS8</t>
  </si>
  <si>
    <t>P45-RS8</t>
  </si>
  <si>
    <t>P46-RS8</t>
  </si>
  <si>
    <t>P47-RS8</t>
  </si>
  <si>
    <t>P48-RS8</t>
  </si>
  <si>
    <t>P49-RS8</t>
  </si>
  <si>
    <t>P50-RS8</t>
  </si>
  <si>
    <t>P51-RS8</t>
  </si>
  <si>
    <t>P52-RS8</t>
  </si>
  <si>
    <t>P53-RS8</t>
  </si>
  <si>
    <t>P54-RS8</t>
  </si>
  <si>
    <t>P55-RS8</t>
  </si>
  <si>
    <t>P56-RS8</t>
  </si>
  <si>
    <t>P57-RS8</t>
  </si>
  <si>
    <t>P58-RS8</t>
  </si>
  <si>
    <t>P59-RS8</t>
  </si>
  <si>
    <t>P60-RS8</t>
  </si>
  <si>
    <t>P61-RS8</t>
  </si>
  <si>
    <t>P62-RS8</t>
  </si>
  <si>
    <t>P63-RS8</t>
  </si>
  <si>
    <t>P64-RS8</t>
  </si>
  <si>
    <t>P65-RS8</t>
  </si>
  <si>
    <t>P66-RS8</t>
  </si>
  <si>
    <t>P67-RS8</t>
  </si>
  <si>
    <t>P34-RS9</t>
  </si>
  <si>
    <t>P35-RS9</t>
  </si>
  <si>
    <t>P36-RS9</t>
  </si>
  <si>
    <t>P37-RS9</t>
  </si>
  <si>
    <t>P38-RS9</t>
  </si>
  <si>
    <t>P39-RS9</t>
  </si>
  <si>
    <t>P40-RS9</t>
  </si>
  <si>
    <t>P41-RS9</t>
  </si>
  <si>
    <t>P42-RS9</t>
  </si>
  <si>
    <t>P43-RS9</t>
  </si>
  <si>
    <t>P44-RS9</t>
  </si>
  <si>
    <t>P45-RS9</t>
  </si>
  <si>
    <t>P46-RS9</t>
  </si>
  <si>
    <t>P47-RS9</t>
  </si>
  <si>
    <t>P48-RS9</t>
  </si>
  <si>
    <t>P49-RS9</t>
  </si>
  <si>
    <t>P50-RS9</t>
  </si>
  <si>
    <t>P51-RS9</t>
  </si>
  <si>
    <t>P52-RS9</t>
  </si>
  <si>
    <t>P53-RS9</t>
  </si>
  <si>
    <t>P54-RS9</t>
  </si>
  <si>
    <t>P55-RS9</t>
  </si>
  <si>
    <t>P56-RS9</t>
  </si>
  <si>
    <t>P57-RS9</t>
  </si>
  <si>
    <t>P58-RS9</t>
  </si>
  <si>
    <t>P59-RS9</t>
  </si>
  <si>
    <t>P60-RS9</t>
  </si>
  <si>
    <t>P61-RS9</t>
  </si>
  <si>
    <t>P62-RS9</t>
  </si>
  <si>
    <t>P63-RS9</t>
  </si>
  <si>
    <t>P64-RS9</t>
  </si>
  <si>
    <t>P65-RS9</t>
  </si>
  <si>
    <t>P66-RS9</t>
  </si>
  <si>
    <t>P67-RS9</t>
  </si>
  <si>
    <t>P34-RS10</t>
  </si>
  <si>
    <t>P35-RS10</t>
  </si>
  <si>
    <t>P36-RS10</t>
  </si>
  <si>
    <t>P37-RS10</t>
  </si>
  <si>
    <t>P38-RS10</t>
  </si>
  <si>
    <t>P39-RS10</t>
  </si>
  <si>
    <t>P40-RS10</t>
  </si>
  <si>
    <t>P41-RS10</t>
  </si>
  <si>
    <t>P42-RS10</t>
  </si>
  <si>
    <t>P43-RS10</t>
  </si>
  <si>
    <t>P44-RS10</t>
  </si>
  <si>
    <t>P45-RS10</t>
  </si>
  <si>
    <t>P46-RS10</t>
  </si>
  <si>
    <t>P47-RS10</t>
  </si>
  <si>
    <t>P48-RS10</t>
  </si>
  <si>
    <t>P49-RS10</t>
  </si>
  <si>
    <t>P50-RS10</t>
  </si>
  <si>
    <t>P51-RS10</t>
  </si>
  <si>
    <t>P52-RS10</t>
  </si>
  <si>
    <t>P53-RS10</t>
  </si>
  <si>
    <t>P54-RS10</t>
  </si>
  <si>
    <t>P55-RS10</t>
  </si>
  <si>
    <t>P56-RS10</t>
  </si>
  <si>
    <t>P57-RS10</t>
  </si>
  <si>
    <t>P58-RS10</t>
  </si>
  <si>
    <t>P59-RS10</t>
  </si>
  <si>
    <t>P60-RS10</t>
  </si>
  <si>
    <t>P61-RS10</t>
  </si>
  <si>
    <t>P62-RS10</t>
  </si>
  <si>
    <t>P63-RS10</t>
  </si>
  <si>
    <t>P64-RS10</t>
  </si>
  <si>
    <t>P65-RS10</t>
  </si>
  <si>
    <t>P66-RS10</t>
  </si>
  <si>
    <t>P67-RS10</t>
  </si>
  <si>
    <t>P34-RS11</t>
  </si>
  <si>
    <t>P35-RS11</t>
  </si>
  <si>
    <t>P36-RS11</t>
  </si>
  <si>
    <t>P37-RS11</t>
  </si>
  <si>
    <t>P38-RS11</t>
  </si>
  <si>
    <t>P39-RS11</t>
  </si>
  <si>
    <t>P40-RS11</t>
  </si>
  <si>
    <t>P41-RS11</t>
  </si>
  <si>
    <t>P42-RS11</t>
  </si>
  <si>
    <t>P43-RS11</t>
  </si>
  <si>
    <t>P44-RS11</t>
  </si>
  <si>
    <t>P45-RS11</t>
  </si>
  <si>
    <t>P46-RS11</t>
  </si>
  <si>
    <t>P47-RS11</t>
  </si>
  <si>
    <t>P48-RS11</t>
  </si>
  <si>
    <t>P49-RS11</t>
  </si>
  <si>
    <t>P50-RS11</t>
  </si>
  <si>
    <t>P51-RS11</t>
  </si>
  <si>
    <t>P52-RS11</t>
  </si>
  <si>
    <t>P53-RS11</t>
  </si>
  <si>
    <t>P54-RS11</t>
  </si>
  <si>
    <t>P55-RS11</t>
  </si>
  <si>
    <t>P56-RS11</t>
  </si>
  <si>
    <t>P57-RS11</t>
  </si>
  <si>
    <t>P58-RS11</t>
  </si>
  <si>
    <t>P59-RS11</t>
  </si>
  <si>
    <t>P60-RS11</t>
  </si>
  <si>
    <t>P61-RS11</t>
  </si>
  <si>
    <t>P62-RS11</t>
  </si>
  <si>
    <t>P63-RS11</t>
  </si>
  <si>
    <t>P64-RS11</t>
  </si>
  <si>
    <t>P65-RS11</t>
  </si>
  <si>
    <t>P66-RS11</t>
  </si>
  <si>
    <t>P67-RS11</t>
  </si>
  <si>
    <t>P34-RS12</t>
  </si>
  <si>
    <t>P35-RS12</t>
  </si>
  <si>
    <t>P36-RS12</t>
  </si>
  <si>
    <t>P37-RS12</t>
  </si>
  <si>
    <t>P38-RS12</t>
  </si>
  <si>
    <t>P39-RS12</t>
  </si>
  <si>
    <t>P40-RS12</t>
  </si>
  <si>
    <t>P41-RS12</t>
  </si>
  <si>
    <t>P42-RS12</t>
  </si>
  <si>
    <t>P43-RS12</t>
  </si>
  <si>
    <t>P44-RS12</t>
  </si>
  <si>
    <t>P45-RS12</t>
  </si>
  <si>
    <t>P46-RS12</t>
  </si>
  <si>
    <t>P47-RS12</t>
  </si>
  <si>
    <t>P48-RS12</t>
  </si>
  <si>
    <t>P49-RS12</t>
  </si>
  <si>
    <t>P50-RS12</t>
  </si>
  <si>
    <t>P51-RS12</t>
  </si>
  <si>
    <t>P52-RS12</t>
  </si>
  <si>
    <t>P53-RS12</t>
  </si>
  <si>
    <t>P54-RS12</t>
  </si>
  <si>
    <t>P55-RS12</t>
  </si>
  <si>
    <t>P56-RS12</t>
  </si>
  <si>
    <t>P57-RS12</t>
  </si>
  <si>
    <t>P58-RS12</t>
  </si>
  <si>
    <t>P59-RS12</t>
  </si>
  <si>
    <t>P60-RS12</t>
  </si>
  <si>
    <t>P61-RS12</t>
  </si>
  <si>
    <t>P62-RS12</t>
  </si>
  <si>
    <t>P63-RS12</t>
  </si>
  <si>
    <t>P64-RS12</t>
  </si>
  <si>
    <t>P65-RS12</t>
  </si>
  <si>
    <t>P66-RS12</t>
  </si>
  <si>
    <t>P67-RS12</t>
  </si>
  <si>
    <t>P34-RS13</t>
  </si>
  <si>
    <t>P35-RS13</t>
  </si>
  <si>
    <t>P36-RS13</t>
  </si>
  <si>
    <t>P37-RS13</t>
  </si>
  <si>
    <t>P38-RS13</t>
  </si>
  <si>
    <t>P39-RS13</t>
  </si>
  <si>
    <t>P40-RS13</t>
  </si>
  <si>
    <t>P41-RS13</t>
  </si>
  <si>
    <t>P42-RS13</t>
  </si>
  <si>
    <t>P43-RS13</t>
  </si>
  <si>
    <t>P44-RS13</t>
  </si>
  <si>
    <t>P45-RS13</t>
  </si>
  <si>
    <t>P46-RS13</t>
  </si>
  <si>
    <t>P47-RS13</t>
  </si>
  <si>
    <t>P48-RS13</t>
  </si>
  <si>
    <t>P49-RS13</t>
  </si>
  <si>
    <t>P50-RS13</t>
  </si>
  <si>
    <t>P51-RS13</t>
  </si>
  <si>
    <t>P52-RS13</t>
  </si>
  <si>
    <t>P53-RS13</t>
  </si>
  <si>
    <t>P54-RS13</t>
  </si>
  <si>
    <t>P55-RS13</t>
  </si>
  <si>
    <t>P56-RS13</t>
  </si>
  <si>
    <t>P57-RS13</t>
  </si>
  <si>
    <t>P58-RS13</t>
  </si>
  <si>
    <t>P59-RS13</t>
  </si>
  <si>
    <t>P60-RS13</t>
  </si>
  <si>
    <t>P61-RS13</t>
  </si>
  <si>
    <t>P62-RS13</t>
  </si>
  <si>
    <t>P63-RS13</t>
  </si>
  <si>
    <t>P64-RS13</t>
  </si>
  <si>
    <t>P65-RS13</t>
  </si>
  <si>
    <t>P66-RS13</t>
  </si>
  <si>
    <t>P67-RS13</t>
  </si>
  <si>
    <t>P34-RS14</t>
  </si>
  <si>
    <t>P35-RS14</t>
  </si>
  <si>
    <t>P36-RS14</t>
  </si>
  <si>
    <t>P37-RS14</t>
  </si>
  <si>
    <t>P38-RS14</t>
  </si>
  <si>
    <t>P39-RS14</t>
  </si>
  <si>
    <t>P40-RS14</t>
  </si>
  <si>
    <t>P41-RS14</t>
  </si>
  <si>
    <t>P42-RS14</t>
  </si>
  <si>
    <t>P43-RS14</t>
  </si>
  <si>
    <t>P44-RS14</t>
  </si>
  <si>
    <t>P45-RS14</t>
  </si>
  <si>
    <t>P46-RS14</t>
  </si>
  <si>
    <t>P47-RS14</t>
  </si>
  <si>
    <t>P48-RS14</t>
  </si>
  <si>
    <t>P49-RS14</t>
  </si>
  <si>
    <t>P50-RS14</t>
  </si>
  <si>
    <t>P51-RS14</t>
  </si>
  <si>
    <t>P52-RS14</t>
  </si>
  <si>
    <t>P53-RS14</t>
  </si>
  <si>
    <t>P54-RS14</t>
  </si>
  <si>
    <t>P55-RS14</t>
  </si>
  <si>
    <t>P56-RS14</t>
  </si>
  <si>
    <t>P57-RS14</t>
  </si>
  <si>
    <t>P58-RS14</t>
  </si>
  <si>
    <t>P59-RS14</t>
  </si>
  <si>
    <t>P60-RS14</t>
  </si>
  <si>
    <t>P61-RS14</t>
  </si>
  <si>
    <t>P62-RS14</t>
  </si>
  <si>
    <t>P63-RS14</t>
  </si>
  <si>
    <t>P64-RS14</t>
  </si>
  <si>
    <t>P65-RS14</t>
  </si>
  <si>
    <t>P66-RS14</t>
  </si>
  <si>
    <t>P67-RS14</t>
  </si>
  <si>
    <t>P34-RS15</t>
  </si>
  <si>
    <t>P35-RS15</t>
  </si>
  <si>
    <t>P36-RS15</t>
  </si>
  <si>
    <t>P37-RS15</t>
  </si>
  <si>
    <t>P38-RS15</t>
  </si>
  <si>
    <t>P39-RS15</t>
  </si>
  <si>
    <t>P40-RS15</t>
  </si>
  <si>
    <t>P41-RS15</t>
  </si>
  <si>
    <t>P42-RS15</t>
  </si>
  <si>
    <t>P43-RS15</t>
  </si>
  <si>
    <t>P44-RS15</t>
  </si>
  <si>
    <t>P45-RS15</t>
  </si>
  <si>
    <t>P46-RS15</t>
  </si>
  <si>
    <t>P47-RS15</t>
  </si>
  <si>
    <t>P48-RS15</t>
  </si>
  <si>
    <t>P49-RS15</t>
  </si>
  <si>
    <t>P50-RS15</t>
  </si>
  <si>
    <t>P51-RS15</t>
  </si>
  <si>
    <t>P52-RS15</t>
  </si>
  <si>
    <t>P53-RS15</t>
  </si>
  <si>
    <t>P54-RS15</t>
  </si>
  <si>
    <t>P55-RS15</t>
  </si>
  <si>
    <t>P56-RS15</t>
  </si>
  <si>
    <t>P57-RS15</t>
  </si>
  <si>
    <t>P58-RS15</t>
  </si>
  <si>
    <t>P59-RS15</t>
  </si>
  <si>
    <t>P60-RS15</t>
  </si>
  <si>
    <t>P61-RS15</t>
  </si>
  <si>
    <t>P62-RS15</t>
  </si>
  <si>
    <t>P63-RS15</t>
  </si>
  <si>
    <t>P64-RS15</t>
  </si>
  <si>
    <t>P65-RS15</t>
  </si>
  <si>
    <t>P66-RS15</t>
  </si>
  <si>
    <t>P67-RS15</t>
  </si>
  <si>
    <t>P34-RS16</t>
  </si>
  <si>
    <t>P35-RS16</t>
  </si>
  <si>
    <t>P36-RS16</t>
  </si>
  <si>
    <t>P37-RS16</t>
  </si>
  <si>
    <t>P38-RS16</t>
  </si>
  <si>
    <t>P39-RS16</t>
  </si>
  <si>
    <t>P40-RS16</t>
  </si>
  <si>
    <t>P41-RS16</t>
  </si>
  <si>
    <t>P42-RS16</t>
  </si>
  <si>
    <t>P43-RS16</t>
  </si>
  <si>
    <t>P44-RS16</t>
  </si>
  <si>
    <t>P45-RS16</t>
  </si>
  <si>
    <t>P46-RS16</t>
  </si>
  <si>
    <t>P47-RS16</t>
  </si>
  <si>
    <t>P48-RS16</t>
  </si>
  <si>
    <t>P49-RS16</t>
  </si>
  <si>
    <t>P50-RS16</t>
  </si>
  <si>
    <t>P51-RS16</t>
  </si>
  <si>
    <t>P52-RS16</t>
  </si>
  <si>
    <t>P53-RS16</t>
  </si>
  <si>
    <t>P54-RS16</t>
  </si>
  <si>
    <t>P55-RS16</t>
  </si>
  <si>
    <t>P56-RS16</t>
  </si>
  <si>
    <t>P57-RS16</t>
  </si>
  <si>
    <t>P58-RS16</t>
  </si>
  <si>
    <t>P59-RS16</t>
  </si>
  <si>
    <t>P60-RS16</t>
  </si>
  <si>
    <t>P61-RS16</t>
  </si>
  <si>
    <t>P62-RS16</t>
  </si>
  <si>
    <t>P63-RS16</t>
  </si>
  <si>
    <t>P64-RS16</t>
  </si>
  <si>
    <t>P65-RS16</t>
  </si>
  <si>
    <t>P66-RS16</t>
  </si>
  <si>
    <t>P67-RS16</t>
  </si>
  <si>
    <t>P34-RS17</t>
  </si>
  <si>
    <t>P35-RS17</t>
  </si>
  <si>
    <t>P36-RS17</t>
  </si>
  <si>
    <t>P37-RS17</t>
  </si>
  <si>
    <t>P38-RS17</t>
  </si>
  <si>
    <t>P39-RS17</t>
  </si>
  <si>
    <t>P40-RS17</t>
  </si>
  <si>
    <t>P41-RS17</t>
  </si>
  <si>
    <t>P42-RS17</t>
  </si>
  <si>
    <t>P43-RS17</t>
  </si>
  <si>
    <t>P44-RS17</t>
  </si>
  <si>
    <t>P45-RS17</t>
  </si>
  <si>
    <t>P46-RS17</t>
  </si>
  <si>
    <t>P47-RS17</t>
  </si>
  <si>
    <t>P48-RS17</t>
  </si>
  <si>
    <t>P49-RS17</t>
  </si>
  <si>
    <t>P50-RS17</t>
  </si>
  <si>
    <t>P51-RS17</t>
  </si>
  <si>
    <t>P52-RS17</t>
  </si>
  <si>
    <t>P53-RS17</t>
  </si>
  <si>
    <t>P54-RS17</t>
  </si>
  <si>
    <t>P55-RS17</t>
  </si>
  <si>
    <t>P56-RS17</t>
  </si>
  <si>
    <t>P57-RS17</t>
  </si>
  <si>
    <t>P58-RS17</t>
  </si>
  <si>
    <t>P59-RS17</t>
  </si>
  <si>
    <t>P60-RS17</t>
  </si>
  <si>
    <t>P61-RS17</t>
  </si>
  <si>
    <t>P62-RS17</t>
  </si>
  <si>
    <t>P63-RS17</t>
  </si>
  <si>
    <t>P64-RS17</t>
  </si>
  <si>
    <t>P65-RS17</t>
  </si>
  <si>
    <t>P66-RS17</t>
  </si>
  <si>
    <t>P67-RS17</t>
  </si>
  <si>
    <t>P34-RS18</t>
  </si>
  <si>
    <t>P35-RS18</t>
  </si>
  <si>
    <t>P36-RS18</t>
  </si>
  <si>
    <t>P37-RS18</t>
  </si>
  <si>
    <t>P38-RS18</t>
  </si>
  <si>
    <t>P39-RS18</t>
  </si>
  <si>
    <t>P40-RS18</t>
  </si>
  <si>
    <t>P41-RS18</t>
  </si>
  <si>
    <t>P42-RS18</t>
  </si>
  <si>
    <t>P43-RS18</t>
  </si>
  <si>
    <t>P44-RS18</t>
  </si>
  <si>
    <t>P45-RS18</t>
  </si>
  <si>
    <t>P46-RS18</t>
  </si>
  <si>
    <t>P47-RS18</t>
  </si>
  <si>
    <t>P48-RS18</t>
  </si>
  <si>
    <t>P49-RS18</t>
  </si>
  <si>
    <t>P50-RS18</t>
  </si>
  <si>
    <t>P51-RS18</t>
  </si>
  <si>
    <t>P52-RS18</t>
  </si>
  <si>
    <t>P53-RS18</t>
  </si>
  <si>
    <t>P54-RS18</t>
  </si>
  <si>
    <t>P55-RS18</t>
  </si>
  <si>
    <t>P56-RS18</t>
  </si>
  <si>
    <t>P57-RS18</t>
  </si>
  <si>
    <t>P58-RS18</t>
  </si>
  <si>
    <t>P59-RS18</t>
  </si>
  <si>
    <t>P60-RS18</t>
  </si>
  <si>
    <t>P61-RS18</t>
  </si>
  <si>
    <t>P62-RS18</t>
  </si>
  <si>
    <t>P63-RS18</t>
  </si>
  <si>
    <t>P64-RS18</t>
  </si>
  <si>
    <t>P65-RS18</t>
  </si>
  <si>
    <t>P66-RS18</t>
  </si>
  <si>
    <t>P67-RS18</t>
  </si>
  <si>
    <t>P34-RS19</t>
  </si>
  <si>
    <t>P35-RS19</t>
  </si>
  <si>
    <t>P36-RS19</t>
  </si>
  <si>
    <t>P37-RS19</t>
  </si>
  <si>
    <t>P38-RS19</t>
  </si>
  <si>
    <t>P39-RS19</t>
  </si>
  <si>
    <t>P40-RS19</t>
  </si>
  <si>
    <t>P41-RS19</t>
  </si>
  <si>
    <t>P42-RS19</t>
  </si>
  <si>
    <t>P43-RS19</t>
  </si>
  <si>
    <t>P44-RS19</t>
  </si>
  <si>
    <t>P45-RS19</t>
  </si>
  <si>
    <t>P46-RS19</t>
  </si>
  <si>
    <t>P47-RS19</t>
  </si>
  <si>
    <t>P48-RS19</t>
  </si>
  <si>
    <t>P49-RS19</t>
  </si>
  <si>
    <t>P50-RS19</t>
  </si>
  <si>
    <t>P51-RS19</t>
  </si>
  <si>
    <t>P52-RS19</t>
  </si>
  <si>
    <t>P53-RS19</t>
  </si>
  <si>
    <t>P54-RS19</t>
  </si>
  <si>
    <t>P55-RS19</t>
  </si>
  <si>
    <t>P56-RS19</t>
  </si>
  <si>
    <t>P57-RS19</t>
  </si>
  <si>
    <t>P58-RS19</t>
  </si>
  <si>
    <t>P59-RS19</t>
  </si>
  <si>
    <t>P60-RS19</t>
  </si>
  <si>
    <t>P61-RS19</t>
  </si>
  <si>
    <t>P62-RS19</t>
  </si>
  <si>
    <t>P63-RS19</t>
  </si>
  <si>
    <t>P64-RS19</t>
  </si>
  <si>
    <t>P65-RS19</t>
  </si>
  <si>
    <t>P66-RS19</t>
  </si>
  <si>
    <t>P67-RS19</t>
  </si>
  <si>
    <t>P34-RS20</t>
  </si>
  <si>
    <t>P35-RS20</t>
  </si>
  <si>
    <t>P36-RS20</t>
  </si>
  <si>
    <t>P37-RS20</t>
  </si>
  <si>
    <t>P38-RS20</t>
  </si>
  <si>
    <t>P39-RS20</t>
  </si>
  <si>
    <t>P40-RS20</t>
  </si>
  <si>
    <t>P41-RS20</t>
  </si>
  <si>
    <t>P42-RS20</t>
  </si>
  <si>
    <t>P43-RS20</t>
  </si>
  <si>
    <t>P44-RS20</t>
  </si>
  <si>
    <t>P45-RS20</t>
  </si>
  <si>
    <t>P46-RS20</t>
  </si>
  <si>
    <t>P47-RS20</t>
  </si>
  <si>
    <t>P48-RS20</t>
  </si>
  <si>
    <t>P49-RS20</t>
  </si>
  <si>
    <t>P50-RS20</t>
  </si>
  <si>
    <t>P51-RS20</t>
  </si>
  <si>
    <t>P52-RS20</t>
  </si>
  <si>
    <t>P53-RS20</t>
  </si>
  <si>
    <t>P54-RS20</t>
  </si>
  <si>
    <t>P55-RS20</t>
  </si>
  <si>
    <t>P56-RS20</t>
  </si>
  <si>
    <t>P57-RS20</t>
  </si>
  <si>
    <t>P58-RS20</t>
  </si>
  <si>
    <t>P59-RS20</t>
  </si>
  <si>
    <t>P60-RS20</t>
  </si>
  <si>
    <t>P61-RS20</t>
  </si>
  <si>
    <t>P62-RS20</t>
  </si>
  <si>
    <t>P63-RS20</t>
  </si>
  <si>
    <t>P64-RS20</t>
  </si>
  <si>
    <t>P65-RS20</t>
  </si>
  <si>
    <t>P66-RS20</t>
  </si>
  <si>
    <t>P67-RS20</t>
  </si>
  <si>
    <t>P34-RS21</t>
  </si>
  <si>
    <t>P35-RS21</t>
  </si>
  <si>
    <t>P36-RS21</t>
  </si>
  <si>
    <t>P37-RS21</t>
  </si>
  <si>
    <t>P38-RS21</t>
  </si>
  <si>
    <t>P39-RS21</t>
  </si>
  <si>
    <t>P40-RS21</t>
  </si>
  <si>
    <t>P41-RS21</t>
  </si>
  <si>
    <t>P42-RS21</t>
  </si>
  <si>
    <t>P43-RS21</t>
  </si>
  <si>
    <t>P44-RS21</t>
  </si>
  <si>
    <t>P45-RS21</t>
  </si>
  <si>
    <t>P46-RS21</t>
  </si>
  <si>
    <t>P47-RS21</t>
  </si>
  <si>
    <t>P48-RS21</t>
  </si>
  <si>
    <t>P49-RS21</t>
  </si>
  <si>
    <t>P50-RS21</t>
  </si>
  <si>
    <t>P51-RS21</t>
  </si>
  <si>
    <t>P52-RS21</t>
  </si>
  <si>
    <t>P53-RS21</t>
  </si>
  <si>
    <t>P54-RS21</t>
  </si>
  <si>
    <t>P55-RS21</t>
  </si>
  <si>
    <t>P56-RS21</t>
  </si>
  <si>
    <t>P57-RS21</t>
  </si>
  <si>
    <t>P58-RS21</t>
  </si>
  <si>
    <t>P59-RS21</t>
  </si>
  <si>
    <t>P60-RS21</t>
  </si>
  <si>
    <t>P61-RS21</t>
  </si>
  <si>
    <t>P62-RS21</t>
  </si>
  <si>
    <t>P63-RS21</t>
  </si>
  <si>
    <t>P64-RS21</t>
  </si>
  <si>
    <t>P65-RS21</t>
  </si>
  <si>
    <t>P66-RS21</t>
  </si>
  <si>
    <t>P67-RS21</t>
  </si>
  <si>
    <t>P34-RS22</t>
  </si>
  <si>
    <t>P35-RS22</t>
  </si>
  <si>
    <t>P36-RS22</t>
  </si>
  <si>
    <t>P37-RS22</t>
  </si>
  <si>
    <t>P38-RS22</t>
  </si>
  <si>
    <t>P39-RS22</t>
  </si>
  <si>
    <t>P40-RS22</t>
  </si>
  <si>
    <t>P41-RS22</t>
  </si>
  <si>
    <t>P42-RS22</t>
  </si>
  <si>
    <t>P43-RS22</t>
  </si>
  <si>
    <t>P44-RS22</t>
  </si>
  <si>
    <t>P45-RS22</t>
  </si>
  <si>
    <t>P46-RS22</t>
  </si>
  <si>
    <t>P47-RS22</t>
  </si>
  <si>
    <t>P48-RS22</t>
  </si>
  <si>
    <t>P49-RS22</t>
  </si>
  <si>
    <t>P50-RS22</t>
  </si>
  <si>
    <t>P51-RS22</t>
  </si>
  <si>
    <t>P52-RS22</t>
  </si>
  <si>
    <t>P53-RS22</t>
  </si>
  <si>
    <t>P54-RS22</t>
  </si>
  <si>
    <t>P55-RS22</t>
  </si>
  <si>
    <t>P56-RS22</t>
  </si>
  <si>
    <t>P57-RS22</t>
  </si>
  <si>
    <t>P58-RS22</t>
  </si>
  <si>
    <t>P59-RS22</t>
  </si>
  <si>
    <t>P60-RS22</t>
  </si>
  <si>
    <t>P61-RS22</t>
  </si>
  <si>
    <t>P62-RS22</t>
  </si>
  <si>
    <t>P63-RS22</t>
  </si>
  <si>
    <t>P64-RS22</t>
  </si>
  <si>
    <t>P65-RS22</t>
  </si>
  <si>
    <t>P66-RS22</t>
  </si>
  <si>
    <t>P67-RS22</t>
  </si>
  <si>
    <t>P34-RS23</t>
  </si>
  <si>
    <t>P35-RS23</t>
  </si>
  <si>
    <t>P36-RS23</t>
  </si>
  <si>
    <t>P37-RS23</t>
  </si>
  <si>
    <t>P38-RS23</t>
  </si>
  <si>
    <t>P39-RS23</t>
  </si>
  <si>
    <t>P40-RS23</t>
  </si>
  <si>
    <t>P41-RS23</t>
  </si>
  <si>
    <t>P42-RS23</t>
  </si>
  <si>
    <t>P43-RS23</t>
  </si>
  <si>
    <t>P44-RS23</t>
  </si>
  <si>
    <t>P45-RS23</t>
  </si>
  <si>
    <t>P46-RS23</t>
  </si>
  <si>
    <t>P47-RS23</t>
  </si>
  <si>
    <t>P48-RS23</t>
  </si>
  <si>
    <t>P49-RS23</t>
  </si>
  <si>
    <t>P50-RS23</t>
  </si>
  <si>
    <t>P51-RS23</t>
  </si>
  <si>
    <t>P52-RS23</t>
  </si>
  <si>
    <t>P53-RS23</t>
  </si>
  <si>
    <t>P54-RS23</t>
  </si>
  <si>
    <t>P55-RS23</t>
  </si>
  <si>
    <t>P56-RS23</t>
  </si>
  <si>
    <t>P57-RS23</t>
  </si>
  <si>
    <t>P58-RS23</t>
  </si>
  <si>
    <t>P59-RS23</t>
  </si>
  <si>
    <t>P60-RS23</t>
  </si>
  <si>
    <t>P61-RS23</t>
  </si>
  <si>
    <t>P62-RS23</t>
  </si>
  <si>
    <t>P63-RS23</t>
  </si>
  <si>
    <t>P64-RS23</t>
  </si>
  <si>
    <t>P65-RS23</t>
  </si>
  <si>
    <t>P66-RS23</t>
  </si>
  <si>
    <t>P67-RS23</t>
  </si>
  <si>
    <t>P34-RS24</t>
  </si>
  <si>
    <t>P35-RS24</t>
  </si>
  <si>
    <t>P36-RS24</t>
  </si>
  <si>
    <t>P37-RS24</t>
  </si>
  <si>
    <t>P38-RS24</t>
  </si>
  <si>
    <t>P39-RS24</t>
  </si>
  <si>
    <t>P40-RS24</t>
  </si>
  <si>
    <t>P41-RS24</t>
  </si>
  <si>
    <t>P42-RS24</t>
  </si>
  <si>
    <t>P43-RS24</t>
  </si>
  <si>
    <t>P44-RS24</t>
  </si>
  <si>
    <t>P45-RS24</t>
  </si>
  <si>
    <t>P46-RS24</t>
  </si>
  <si>
    <t>P47-RS24</t>
  </si>
  <si>
    <t>P48-RS24</t>
  </si>
  <si>
    <t>P49-RS24</t>
  </si>
  <si>
    <t>P50-RS24</t>
  </si>
  <si>
    <t>P51-RS24</t>
  </si>
  <si>
    <t>P52-RS24</t>
  </si>
  <si>
    <t>P53-RS24</t>
  </si>
  <si>
    <t>P54-RS24</t>
  </si>
  <si>
    <t>P55-RS24</t>
  </si>
  <si>
    <t>P56-RS24</t>
  </si>
  <si>
    <t>P57-RS24</t>
  </si>
  <si>
    <t>P58-RS24</t>
  </si>
  <si>
    <t>P59-RS24</t>
  </si>
  <si>
    <t>P60-RS24</t>
  </si>
  <si>
    <t>P61-RS24</t>
  </si>
  <si>
    <t>P62-RS24</t>
  </si>
  <si>
    <t>P63-RS24</t>
  </si>
  <si>
    <t>P64-RS24</t>
  </si>
  <si>
    <t>P65-RS24</t>
  </si>
  <si>
    <t>P66-RS24</t>
  </si>
  <si>
    <t>P67-RS24</t>
  </si>
  <si>
    <t>P34-RS25</t>
  </si>
  <si>
    <t>P35-RS25</t>
  </si>
  <si>
    <t>P36-RS25</t>
  </si>
  <si>
    <t>P37-RS25</t>
  </si>
  <si>
    <t>P38-RS25</t>
  </si>
  <si>
    <t>P39-RS25</t>
  </si>
  <si>
    <t>P40-RS25</t>
  </si>
  <si>
    <t>P41-RS25</t>
  </si>
  <si>
    <t>P42-RS25</t>
  </si>
  <si>
    <t>P43-RS25</t>
  </si>
  <si>
    <t>P44-RS25</t>
  </si>
  <si>
    <t>P45-RS25</t>
  </si>
  <si>
    <t>P46-RS25</t>
  </si>
  <si>
    <t>P47-RS25</t>
  </si>
  <si>
    <t>P48-RS25</t>
  </si>
  <si>
    <t>P49-RS25</t>
  </si>
  <si>
    <t>P50-RS25</t>
  </si>
  <si>
    <t>P51-RS25</t>
  </si>
  <si>
    <t>P52-RS25</t>
  </si>
  <si>
    <t>P53-RS25</t>
  </si>
  <si>
    <t>P54-RS25</t>
  </si>
  <si>
    <t>P55-RS25</t>
  </si>
  <si>
    <t>P56-RS25</t>
  </si>
  <si>
    <t>P57-RS25</t>
  </si>
  <si>
    <t>P58-RS25</t>
  </si>
  <si>
    <t>P59-RS25</t>
  </si>
  <si>
    <t>P60-RS25</t>
  </si>
  <si>
    <t>P61-RS25</t>
  </si>
  <si>
    <t>P62-RS25</t>
  </si>
  <si>
    <t>P63-RS25</t>
  </si>
  <si>
    <t>P64-RS25</t>
  </si>
  <si>
    <t>P65-RS25</t>
  </si>
  <si>
    <t>P66-RS25</t>
  </si>
  <si>
    <t>P67-RS25</t>
  </si>
  <si>
    <t>P68-RS2</t>
  </si>
  <si>
    <t>P69-RS2</t>
  </si>
  <si>
    <t>P70-RS2</t>
  </si>
  <si>
    <t>P71-RS2</t>
  </si>
  <si>
    <t>P72-RS2</t>
  </si>
  <si>
    <t>P73-RS2</t>
  </si>
  <si>
    <t>P74-RS2</t>
  </si>
  <si>
    <t>P75-RS2</t>
  </si>
  <si>
    <t>P76-RS2</t>
  </si>
  <si>
    <t>P77-RS2</t>
  </si>
  <si>
    <t>P78-RS2</t>
  </si>
  <si>
    <t>P79-RS2</t>
  </si>
  <si>
    <t>P80-RS2</t>
  </si>
  <si>
    <t>P81-RS2</t>
  </si>
  <si>
    <t>P82-RS2</t>
  </si>
  <si>
    <t>P83-RS2</t>
  </si>
  <si>
    <t>P84-RS2</t>
  </si>
  <si>
    <t>P85-RS2</t>
  </si>
  <si>
    <t>P86-RS2</t>
  </si>
  <si>
    <t>P87-RS2</t>
  </si>
  <si>
    <t>P88-RS2</t>
  </si>
  <si>
    <t>P89-RS2</t>
  </si>
  <si>
    <t>P90-RS2</t>
  </si>
  <si>
    <t>P68-RS3</t>
  </si>
  <si>
    <t>P69-RS3</t>
  </si>
  <si>
    <t>P70-RS3</t>
  </si>
  <si>
    <t>P71-RS3</t>
  </si>
  <si>
    <t>P72-RS3</t>
  </si>
  <si>
    <t>P73-RS3</t>
  </si>
  <si>
    <t>P74-RS3</t>
  </si>
  <si>
    <t>P75-RS3</t>
  </si>
  <si>
    <t>P76-RS3</t>
  </si>
  <si>
    <t>P77-RS3</t>
  </si>
  <si>
    <t>P78-RS3</t>
  </si>
  <si>
    <t>P79-RS3</t>
  </si>
  <si>
    <t>P80-RS3</t>
  </si>
  <si>
    <t>P81-RS3</t>
  </si>
  <si>
    <t>P82-RS3</t>
  </si>
  <si>
    <t>P83-RS3</t>
  </si>
  <si>
    <t>P84-RS3</t>
  </si>
  <si>
    <t>P85-RS3</t>
  </si>
  <si>
    <t>P86-RS3</t>
  </si>
  <si>
    <t>P87-RS3</t>
  </si>
  <si>
    <t>P88-RS3</t>
  </si>
  <si>
    <t>P89-RS3</t>
  </si>
  <si>
    <t>P90-RS3</t>
  </si>
  <si>
    <t>P68-RS4</t>
  </si>
  <si>
    <t>P69-RS4</t>
  </si>
  <si>
    <t>P70-RS4</t>
  </si>
  <si>
    <t>P71-RS4</t>
  </si>
  <si>
    <t>P72-RS4</t>
  </si>
  <si>
    <t>P73-RS4</t>
  </si>
  <si>
    <t>P74-RS4</t>
  </si>
  <si>
    <t>P75-RS4</t>
  </si>
  <si>
    <t>P76-RS4</t>
  </si>
  <si>
    <t>P77-RS4</t>
  </si>
  <si>
    <t>P78-RS4</t>
  </si>
  <si>
    <t>P79-RS4</t>
  </si>
  <si>
    <t>P80-RS4</t>
  </si>
  <si>
    <t>P81-RS4</t>
  </si>
  <si>
    <t>P82-RS4</t>
  </si>
  <si>
    <t>P83-RS4</t>
  </si>
  <si>
    <t>P84-RS4</t>
  </si>
  <si>
    <t>P85-RS4</t>
  </si>
  <si>
    <t>P86-RS4</t>
  </si>
  <si>
    <t>P87-RS4</t>
  </si>
  <si>
    <t>P88-RS4</t>
  </si>
  <si>
    <t>P89-RS4</t>
  </si>
  <si>
    <t>P90-RS4</t>
  </si>
  <si>
    <t>P68-RS5</t>
  </si>
  <si>
    <t>P69-RS5</t>
  </si>
  <si>
    <t>P70-RS5</t>
  </si>
  <si>
    <t>P71-RS5</t>
  </si>
  <si>
    <t>P72-RS5</t>
  </si>
  <si>
    <t>P73-RS5</t>
  </si>
  <si>
    <t>P74-RS5</t>
  </si>
  <si>
    <t>P75-RS5</t>
  </si>
  <si>
    <t>P76-RS5</t>
  </si>
  <si>
    <t>P77-RS5</t>
  </si>
  <si>
    <t>P78-RS5</t>
  </si>
  <si>
    <t>P79-RS5</t>
  </si>
  <si>
    <t>P80-RS5</t>
  </si>
  <si>
    <t>P81-RS5</t>
  </si>
  <si>
    <t>P82-RS5</t>
  </si>
  <si>
    <t>P83-RS5</t>
  </si>
  <si>
    <t>P84-RS5</t>
  </si>
  <si>
    <t>P85-RS5</t>
  </si>
  <si>
    <t>P86-RS5</t>
  </si>
  <si>
    <t>P87-RS5</t>
  </si>
  <si>
    <t>P88-RS5</t>
  </si>
  <si>
    <t>P89-RS5</t>
  </si>
  <si>
    <t>P90-RS5</t>
  </si>
  <si>
    <t>P68-RS6</t>
  </si>
  <si>
    <t>P69-RS6</t>
  </si>
  <si>
    <t>P70-RS6</t>
  </si>
  <si>
    <t>P71-RS6</t>
  </si>
  <si>
    <t>P72-RS6</t>
  </si>
  <si>
    <t>P73-RS6</t>
  </si>
  <si>
    <t>P74-RS6</t>
  </si>
  <si>
    <t>P75-RS6</t>
  </si>
  <si>
    <t>P76-RS6</t>
  </si>
  <si>
    <t>P77-RS6</t>
  </si>
  <si>
    <t>P78-RS6</t>
  </si>
  <si>
    <t>P79-RS6</t>
  </si>
  <si>
    <t>P80-RS6</t>
  </si>
  <si>
    <t>P81-RS6</t>
  </si>
  <si>
    <t>P82-RS6</t>
  </si>
  <si>
    <t>P83-RS6</t>
  </si>
  <si>
    <t>P84-RS6</t>
  </si>
  <si>
    <t>P85-RS6</t>
  </si>
  <si>
    <t>P86-RS6</t>
  </si>
  <si>
    <t>P87-RS6</t>
  </si>
  <si>
    <t>P88-RS6</t>
  </si>
  <si>
    <t>P89-RS6</t>
  </si>
  <si>
    <t>P90-RS6</t>
  </si>
  <si>
    <t>P68-RS7</t>
  </si>
  <si>
    <t>P69-RS7</t>
  </si>
  <si>
    <t>P70-RS7</t>
  </si>
  <si>
    <t>P71-RS7</t>
  </si>
  <si>
    <t>P72-RS7</t>
  </si>
  <si>
    <t>P73-RS7</t>
  </si>
  <si>
    <t>P74-RS7</t>
  </si>
  <si>
    <t>P75-RS7</t>
  </si>
  <si>
    <t>P76-RS7</t>
  </si>
  <si>
    <t>P77-RS7</t>
  </si>
  <si>
    <t>P78-RS7</t>
  </si>
  <si>
    <t>P79-RS7</t>
  </si>
  <si>
    <t>P80-RS7</t>
  </si>
  <si>
    <t>P81-RS7</t>
  </si>
  <si>
    <t>P82-RS7</t>
  </si>
  <si>
    <t>P83-RS7</t>
  </si>
  <si>
    <t>P84-RS7</t>
  </si>
  <si>
    <t>P85-RS7</t>
  </si>
  <si>
    <t>P86-RS7</t>
  </si>
  <si>
    <t>P87-RS7</t>
  </si>
  <si>
    <t>P88-RS7</t>
  </si>
  <si>
    <t>P89-RS7</t>
  </si>
  <si>
    <t>P90-RS7</t>
  </si>
  <si>
    <t>P68-RS8</t>
  </si>
  <si>
    <t>P69-RS8</t>
  </si>
  <si>
    <t>P70-RS8</t>
  </si>
  <si>
    <t>P71-RS8</t>
  </si>
  <si>
    <t>P72-RS8</t>
  </si>
  <si>
    <t>P73-RS8</t>
  </si>
  <si>
    <t>P74-RS8</t>
  </si>
  <si>
    <t>P75-RS8</t>
  </si>
  <si>
    <t>P76-RS8</t>
  </si>
  <si>
    <t>P77-RS8</t>
  </si>
  <si>
    <t>P78-RS8</t>
  </si>
  <si>
    <t>P79-RS8</t>
  </si>
  <si>
    <t>P80-RS8</t>
  </si>
  <si>
    <t>P81-RS8</t>
  </si>
  <si>
    <t>P82-RS8</t>
  </si>
  <si>
    <t>P83-RS8</t>
  </si>
  <si>
    <t>P84-RS8</t>
  </si>
  <si>
    <t>P85-RS8</t>
  </si>
  <si>
    <t>P86-RS8</t>
  </si>
  <si>
    <t>P87-RS8</t>
  </si>
  <si>
    <t>P88-RS8</t>
  </si>
  <si>
    <t>P89-RS8</t>
  </si>
  <si>
    <t>P90-RS8</t>
  </si>
  <si>
    <t>P68-RS9</t>
  </si>
  <si>
    <t>P69-RS9</t>
  </si>
  <si>
    <t>P70-RS9</t>
  </si>
  <si>
    <t>P71-RS9</t>
  </si>
  <si>
    <t>P72-RS9</t>
  </si>
  <si>
    <t>P73-RS9</t>
  </si>
  <si>
    <t>P74-RS9</t>
  </si>
  <si>
    <t>P75-RS9</t>
  </si>
  <si>
    <t>P76-RS9</t>
  </si>
  <si>
    <t>P77-RS9</t>
  </si>
  <si>
    <t>P78-RS9</t>
  </si>
  <si>
    <t>P79-RS9</t>
  </si>
  <si>
    <t>P80-RS9</t>
  </si>
  <si>
    <t>P81-RS9</t>
  </si>
  <si>
    <t>P82-RS9</t>
  </si>
  <si>
    <t>P83-RS9</t>
  </si>
  <si>
    <t>P84-RS9</t>
  </si>
  <si>
    <t>P85-RS9</t>
  </si>
  <si>
    <t>P86-RS9</t>
  </si>
  <si>
    <t>P87-RS9</t>
  </si>
  <si>
    <t>P88-RS9</t>
  </si>
  <si>
    <t>P89-RS9</t>
  </si>
  <si>
    <t>P90-RS9</t>
  </si>
  <si>
    <t>P68-RS10</t>
  </si>
  <si>
    <t>P69-RS10</t>
  </si>
  <si>
    <t>P70-RS10</t>
  </si>
  <si>
    <t>P71-RS10</t>
  </si>
  <si>
    <t>P72-RS10</t>
  </si>
  <si>
    <t>P73-RS10</t>
  </si>
  <si>
    <t>P74-RS10</t>
  </si>
  <si>
    <t>P75-RS10</t>
  </si>
  <si>
    <t>P76-RS10</t>
  </si>
  <si>
    <t>P77-RS10</t>
  </si>
  <si>
    <t>P78-RS10</t>
  </si>
  <si>
    <t>P79-RS10</t>
  </si>
  <si>
    <t>P80-RS10</t>
  </si>
  <si>
    <t>P81-RS10</t>
  </si>
  <si>
    <t>P82-RS10</t>
  </si>
  <si>
    <t>P83-RS10</t>
  </si>
  <si>
    <t>P84-RS10</t>
  </si>
  <si>
    <t>P85-RS10</t>
  </si>
  <si>
    <t>P86-RS10</t>
  </si>
  <si>
    <t>P87-RS10</t>
  </si>
  <si>
    <t>P88-RS10</t>
  </si>
  <si>
    <t>P89-RS10</t>
  </si>
  <si>
    <t>P90-RS10</t>
  </si>
  <si>
    <t>P68-RS11</t>
  </si>
  <si>
    <t>P69-RS11</t>
  </si>
  <si>
    <t>P70-RS11</t>
  </si>
  <si>
    <t>P71-RS11</t>
  </si>
  <si>
    <t>P72-RS11</t>
  </si>
  <si>
    <t>P73-RS11</t>
  </si>
  <si>
    <t>P74-RS11</t>
  </si>
  <si>
    <t>P75-RS11</t>
  </si>
  <si>
    <t>P76-RS11</t>
  </si>
  <si>
    <t>P77-RS11</t>
  </si>
  <si>
    <t>P78-RS11</t>
  </si>
  <si>
    <t>P79-RS11</t>
  </si>
  <si>
    <t>P80-RS11</t>
  </si>
  <si>
    <t>P81-RS11</t>
  </si>
  <si>
    <t>P82-RS11</t>
  </si>
  <si>
    <t>P83-RS11</t>
  </si>
  <si>
    <t>P84-RS11</t>
  </si>
  <si>
    <t>P85-RS11</t>
  </si>
  <si>
    <t>P86-RS11</t>
  </si>
  <si>
    <t>P87-RS11</t>
  </si>
  <si>
    <t>P88-RS11</t>
  </si>
  <si>
    <t>P89-RS11</t>
  </si>
  <si>
    <t>P90-RS11</t>
  </si>
  <si>
    <t>P68-RS12</t>
  </si>
  <si>
    <t>P69-RS12</t>
  </si>
  <si>
    <t>P70-RS12</t>
  </si>
  <si>
    <t>P71-RS12</t>
  </si>
  <si>
    <t>P72-RS12</t>
  </si>
  <si>
    <t>P73-RS12</t>
  </si>
  <si>
    <t>P74-RS12</t>
  </si>
  <si>
    <t>P75-RS12</t>
  </si>
  <si>
    <t>P76-RS12</t>
  </si>
  <si>
    <t>P77-RS12</t>
  </si>
  <si>
    <t>P78-RS12</t>
  </si>
  <si>
    <t>P79-RS12</t>
  </si>
  <si>
    <t>P80-RS12</t>
  </si>
  <si>
    <t>P81-RS12</t>
  </si>
  <si>
    <t>P82-RS12</t>
  </si>
  <si>
    <t>P83-RS12</t>
  </si>
  <si>
    <t>P84-RS12</t>
  </si>
  <si>
    <t>P85-RS12</t>
  </si>
  <si>
    <t>P86-RS12</t>
  </si>
  <si>
    <t>P87-RS12</t>
  </si>
  <si>
    <t>P88-RS12</t>
  </si>
  <si>
    <t>P89-RS12</t>
  </si>
  <si>
    <t>P90-RS12</t>
  </si>
  <si>
    <t>P68-RS13</t>
  </si>
  <si>
    <t>P69-RS13</t>
  </si>
  <si>
    <t>P70-RS13</t>
  </si>
  <si>
    <t>P71-RS13</t>
  </si>
  <si>
    <t>P72-RS13</t>
  </si>
  <si>
    <t>P73-RS13</t>
  </si>
  <si>
    <t>P74-RS13</t>
  </si>
  <si>
    <t>P75-RS13</t>
  </si>
  <si>
    <t>P76-RS13</t>
  </si>
  <si>
    <t>P77-RS13</t>
  </si>
  <si>
    <t>P78-RS13</t>
  </si>
  <si>
    <t>P79-RS13</t>
  </si>
  <si>
    <t>P80-RS13</t>
  </si>
  <si>
    <t>P81-RS13</t>
  </si>
  <si>
    <t>P82-RS13</t>
  </si>
  <si>
    <t>P83-RS13</t>
  </si>
  <si>
    <t>P84-RS13</t>
  </si>
  <si>
    <t>P85-RS13</t>
  </si>
  <si>
    <t>P86-RS13</t>
  </si>
  <si>
    <t>P87-RS13</t>
  </si>
  <si>
    <t>P88-RS13</t>
  </si>
  <si>
    <t>P89-RS13</t>
  </si>
  <si>
    <t>P90-RS13</t>
  </si>
  <si>
    <t>P68-RS14</t>
  </si>
  <si>
    <t>P69-RS14</t>
  </si>
  <si>
    <t>P70-RS14</t>
  </si>
  <si>
    <t>P71-RS14</t>
  </si>
  <si>
    <t>P72-RS14</t>
  </si>
  <si>
    <t>P73-RS14</t>
  </si>
  <si>
    <t>P74-RS14</t>
  </si>
  <si>
    <t>P75-RS14</t>
  </si>
  <si>
    <t>P76-RS14</t>
  </si>
  <si>
    <t>P77-RS14</t>
  </si>
  <si>
    <t>P78-RS14</t>
  </si>
  <si>
    <t>P79-RS14</t>
  </si>
  <si>
    <t>P80-RS14</t>
  </si>
  <si>
    <t>P81-RS14</t>
  </si>
  <si>
    <t>P82-RS14</t>
  </si>
  <si>
    <t>P83-RS14</t>
  </si>
  <si>
    <t>P84-RS14</t>
  </si>
  <si>
    <t>P85-RS14</t>
  </si>
  <si>
    <t>P86-RS14</t>
  </si>
  <si>
    <t>P87-RS14</t>
  </si>
  <si>
    <t>P88-RS14</t>
  </si>
  <si>
    <t>P89-RS14</t>
  </si>
  <si>
    <t>P90-RS14</t>
  </si>
  <si>
    <t>P68-RS15</t>
  </si>
  <si>
    <t>P69-RS15</t>
  </si>
  <si>
    <t>P70-RS15</t>
  </si>
  <si>
    <t>P71-RS15</t>
  </si>
  <si>
    <t>P72-RS15</t>
  </si>
  <si>
    <t>P73-RS15</t>
  </si>
  <si>
    <t>P74-RS15</t>
  </si>
  <si>
    <t>P75-RS15</t>
  </si>
  <si>
    <t>P76-RS15</t>
  </si>
  <si>
    <t>P77-RS15</t>
  </si>
  <si>
    <t>P78-RS15</t>
  </si>
  <si>
    <t>P79-RS15</t>
  </si>
  <si>
    <t>P80-RS15</t>
  </si>
  <si>
    <t>P81-RS15</t>
  </si>
  <si>
    <t>P82-RS15</t>
  </si>
  <si>
    <t>P83-RS15</t>
  </si>
  <si>
    <t>P84-RS15</t>
  </si>
  <si>
    <t>P85-RS15</t>
  </si>
  <si>
    <t>P86-RS15</t>
  </si>
  <si>
    <t>P87-RS15</t>
  </si>
  <si>
    <t>P88-RS15</t>
  </si>
  <si>
    <t>P89-RS15</t>
  </si>
  <si>
    <t>P90-RS15</t>
  </si>
  <si>
    <t>P68-RS16</t>
  </si>
  <si>
    <t>P69-RS16</t>
  </si>
  <si>
    <t>P70-RS16</t>
  </si>
  <si>
    <t>P71-RS16</t>
  </si>
  <si>
    <t>P72-RS16</t>
  </si>
  <si>
    <t>P73-RS16</t>
  </si>
  <si>
    <t>P74-RS16</t>
  </si>
  <si>
    <t>P75-RS16</t>
  </si>
  <si>
    <t>P76-RS16</t>
  </si>
  <si>
    <t>P77-RS16</t>
  </si>
  <si>
    <t>P78-RS16</t>
  </si>
  <si>
    <t>P79-RS16</t>
  </si>
  <si>
    <t>P80-RS16</t>
  </si>
  <si>
    <t>P81-RS16</t>
  </si>
  <si>
    <t>P82-RS16</t>
  </si>
  <si>
    <t>P83-RS16</t>
  </si>
  <si>
    <t>P84-RS16</t>
  </si>
  <si>
    <t>P85-RS16</t>
  </si>
  <si>
    <t>P86-RS16</t>
  </si>
  <si>
    <t>P87-RS16</t>
  </si>
  <si>
    <t>P88-RS16</t>
  </si>
  <si>
    <t>P89-RS16</t>
  </si>
  <si>
    <t>P90-RS16</t>
  </si>
  <si>
    <t>P68-RS17</t>
  </si>
  <si>
    <t>P69-RS17</t>
  </si>
  <si>
    <t>P70-RS17</t>
  </si>
  <si>
    <t>P71-RS17</t>
  </si>
  <si>
    <t>P72-RS17</t>
  </si>
  <si>
    <t>P73-RS17</t>
  </si>
  <si>
    <t>P74-RS17</t>
  </si>
  <si>
    <t>P75-RS17</t>
  </si>
  <si>
    <t>P76-RS17</t>
  </si>
  <si>
    <t>P77-RS17</t>
  </si>
  <si>
    <t>P78-RS17</t>
  </si>
  <si>
    <t>P79-RS17</t>
  </si>
  <si>
    <t>P80-RS17</t>
  </si>
  <si>
    <t>P81-RS17</t>
  </si>
  <si>
    <t>P82-RS17</t>
  </si>
  <si>
    <t>P83-RS17</t>
  </si>
  <si>
    <t>P84-RS17</t>
  </si>
  <si>
    <t>P85-RS17</t>
  </si>
  <si>
    <t>P86-RS17</t>
  </si>
  <si>
    <t>P87-RS17</t>
  </si>
  <si>
    <t>P88-RS17</t>
  </si>
  <si>
    <t>P89-RS17</t>
  </si>
  <si>
    <t>P90-RS17</t>
  </si>
  <si>
    <t>P68-RS18</t>
  </si>
  <si>
    <t>P69-RS18</t>
  </si>
  <si>
    <t>P70-RS18</t>
  </si>
  <si>
    <t>P71-RS18</t>
  </si>
  <si>
    <t>P72-RS18</t>
  </si>
  <si>
    <t>P73-RS18</t>
  </si>
  <si>
    <t>P74-RS18</t>
  </si>
  <si>
    <t>P75-RS18</t>
  </si>
  <si>
    <t>P76-RS18</t>
  </si>
  <si>
    <t>P77-RS18</t>
  </si>
  <si>
    <t>P78-RS18</t>
  </si>
  <si>
    <t>P79-RS18</t>
  </si>
  <si>
    <t>P80-RS18</t>
  </si>
  <si>
    <t>P81-RS18</t>
  </si>
  <si>
    <t>P82-RS18</t>
  </si>
  <si>
    <t>P83-RS18</t>
  </si>
  <si>
    <t>P84-RS18</t>
  </si>
  <si>
    <t>P85-RS18</t>
  </si>
  <si>
    <t>P86-RS18</t>
  </si>
  <si>
    <t>P87-RS18</t>
  </si>
  <si>
    <t>P88-RS18</t>
  </si>
  <si>
    <t>P89-RS18</t>
  </si>
  <si>
    <t>P90-RS18</t>
  </si>
  <si>
    <t>P68-RS19</t>
  </si>
  <si>
    <t>P69-RS19</t>
  </si>
  <si>
    <t>P70-RS19</t>
  </si>
  <si>
    <t>P71-RS19</t>
  </si>
  <si>
    <t>P72-RS19</t>
  </si>
  <si>
    <t>P73-RS19</t>
  </si>
  <si>
    <t>P74-RS19</t>
  </si>
  <si>
    <t>P75-RS19</t>
  </si>
  <si>
    <t>P76-RS19</t>
  </si>
  <si>
    <t>P77-RS19</t>
  </si>
  <si>
    <t>P78-RS19</t>
  </si>
  <si>
    <t>P79-RS19</t>
  </si>
  <si>
    <t>P80-RS19</t>
  </si>
  <si>
    <t>P81-RS19</t>
  </si>
  <si>
    <t>P82-RS19</t>
  </si>
  <si>
    <t>P83-RS19</t>
  </si>
  <si>
    <t>P84-RS19</t>
  </si>
  <si>
    <t>P85-RS19</t>
  </si>
  <si>
    <t>P86-RS19</t>
  </si>
  <si>
    <t>P87-RS19</t>
  </si>
  <si>
    <t>P88-RS19</t>
  </si>
  <si>
    <t>P89-RS19</t>
  </si>
  <si>
    <t>P90-RS19</t>
  </si>
  <si>
    <t>P68-RS20</t>
  </si>
  <si>
    <t>P69-RS20</t>
  </si>
  <si>
    <t>P70-RS20</t>
  </si>
  <si>
    <t>P71-RS20</t>
  </si>
  <si>
    <t>P72-RS20</t>
  </si>
  <si>
    <t>P73-RS20</t>
  </si>
  <si>
    <t>P74-RS20</t>
  </si>
  <si>
    <t>P75-RS20</t>
  </si>
  <si>
    <t>P76-RS20</t>
  </si>
  <si>
    <t>P77-RS20</t>
  </si>
  <si>
    <t>P78-RS20</t>
  </si>
  <si>
    <t>P79-RS20</t>
  </si>
  <si>
    <t>P80-RS20</t>
  </si>
  <si>
    <t>P81-RS20</t>
  </si>
  <si>
    <t>P82-RS20</t>
  </si>
  <si>
    <t>P83-RS20</t>
  </si>
  <si>
    <t>P84-RS20</t>
  </si>
  <si>
    <t>P85-RS20</t>
  </si>
  <si>
    <t>P86-RS20</t>
  </si>
  <si>
    <t>P87-RS20</t>
  </si>
  <si>
    <t>P88-RS20</t>
  </si>
  <si>
    <t>P89-RS20</t>
  </si>
  <si>
    <t>P90-RS20</t>
  </si>
  <si>
    <t>P68-RS21</t>
  </si>
  <si>
    <t>P69-RS21</t>
  </si>
  <si>
    <t>P70-RS21</t>
  </si>
  <si>
    <t>P71-RS21</t>
  </si>
  <si>
    <t>P72-RS21</t>
  </si>
  <si>
    <t>P73-RS21</t>
  </si>
  <si>
    <t>P74-RS21</t>
  </si>
  <si>
    <t>P75-RS21</t>
  </si>
  <si>
    <t>P76-RS21</t>
  </si>
  <si>
    <t>P77-RS21</t>
  </si>
  <si>
    <t>P78-RS21</t>
  </si>
  <si>
    <t>P79-RS21</t>
  </si>
  <si>
    <t>P80-RS21</t>
  </si>
  <si>
    <t>P81-RS21</t>
  </si>
  <si>
    <t>P82-RS21</t>
  </si>
  <si>
    <t>P83-RS21</t>
  </si>
  <si>
    <t>P84-RS21</t>
  </si>
  <si>
    <t>P85-RS21</t>
  </si>
  <si>
    <t>P86-RS21</t>
  </si>
  <si>
    <t>P87-RS21</t>
  </si>
  <si>
    <t>P88-RS21</t>
  </si>
  <si>
    <t>P89-RS21</t>
  </si>
  <si>
    <t>P90-RS21</t>
  </si>
  <si>
    <t>P68-RS22</t>
  </si>
  <si>
    <t>P69-RS22</t>
  </si>
  <si>
    <t>P70-RS22</t>
  </si>
  <si>
    <t>P71-RS22</t>
  </si>
  <si>
    <t>P72-RS22</t>
  </si>
  <si>
    <t>P73-RS22</t>
  </si>
  <si>
    <t>P74-RS22</t>
  </si>
  <si>
    <t>P75-RS22</t>
  </si>
  <si>
    <t>P76-RS22</t>
  </si>
  <si>
    <t>P77-RS22</t>
  </si>
  <si>
    <t>P78-RS22</t>
  </si>
  <si>
    <t>P79-RS22</t>
  </si>
  <si>
    <t>P80-RS22</t>
  </si>
  <si>
    <t>P81-RS22</t>
  </si>
  <si>
    <t>P82-RS22</t>
  </si>
  <si>
    <t>P83-RS22</t>
  </si>
  <si>
    <t>P84-RS22</t>
  </si>
  <si>
    <t>P85-RS22</t>
  </si>
  <si>
    <t>P86-RS22</t>
  </si>
  <si>
    <t>P87-RS22</t>
  </si>
  <si>
    <t>P88-RS22</t>
  </si>
  <si>
    <t>P89-RS22</t>
  </si>
  <si>
    <t>P90-RS22</t>
  </si>
  <si>
    <t>P68-RS23</t>
  </si>
  <si>
    <t>P69-RS23</t>
  </si>
  <si>
    <t>P70-RS23</t>
  </si>
  <si>
    <t>P71-RS23</t>
  </si>
  <si>
    <t>P72-RS23</t>
  </si>
  <si>
    <t>P73-RS23</t>
  </si>
  <si>
    <t>P74-RS23</t>
  </si>
  <si>
    <t>P75-RS23</t>
  </si>
  <si>
    <t>P76-RS23</t>
  </si>
  <si>
    <t>P77-RS23</t>
  </si>
  <si>
    <t>P78-RS23</t>
  </si>
  <si>
    <t>P79-RS23</t>
  </si>
  <si>
    <t>P80-RS23</t>
  </si>
  <si>
    <t>P81-RS23</t>
  </si>
  <si>
    <t>P82-RS23</t>
  </si>
  <si>
    <t>P83-RS23</t>
  </si>
  <si>
    <t>P84-RS23</t>
  </si>
  <si>
    <t>P85-RS23</t>
  </si>
  <si>
    <t>P86-RS23</t>
  </si>
  <si>
    <t>P87-RS23</t>
  </si>
  <si>
    <t>P88-RS23</t>
  </si>
  <si>
    <t>P89-RS23</t>
  </si>
  <si>
    <t>P90-RS23</t>
  </si>
  <si>
    <t>P68-RS24</t>
  </si>
  <si>
    <t>P69-RS24</t>
  </si>
  <si>
    <t>P70-RS24</t>
  </si>
  <si>
    <t>P71-RS24</t>
  </si>
  <si>
    <t>P72-RS24</t>
  </si>
  <si>
    <t>P73-RS24</t>
  </si>
  <si>
    <t>P74-RS24</t>
  </si>
  <si>
    <t>P75-RS24</t>
  </si>
  <si>
    <t>P76-RS24</t>
  </si>
  <si>
    <t>P77-RS24</t>
  </si>
  <si>
    <t>P78-RS24</t>
  </si>
  <si>
    <t>P79-RS24</t>
  </si>
  <si>
    <t>P80-RS24</t>
  </si>
  <si>
    <t>P81-RS24</t>
  </si>
  <si>
    <t>P82-RS24</t>
  </si>
  <si>
    <t>P83-RS24</t>
  </si>
  <si>
    <t>P84-RS24</t>
  </si>
  <si>
    <t>P85-RS24</t>
  </si>
  <si>
    <t>P86-RS24</t>
  </si>
  <si>
    <t>P87-RS24</t>
  </si>
  <si>
    <t>P88-RS24</t>
  </si>
  <si>
    <t>P89-RS24</t>
  </si>
  <si>
    <t>P90-RS24</t>
  </si>
  <si>
    <t>P68-RS25</t>
  </si>
  <si>
    <t>P69-RS25</t>
  </si>
  <si>
    <t>P70-RS25</t>
  </si>
  <si>
    <t>P71-RS25</t>
  </si>
  <si>
    <t>P72-RS25</t>
  </si>
  <si>
    <t>P73-RS25</t>
  </si>
  <si>
    <t>P74-RS25</t>
  </si>
  <si>
    <t>P75-RS25</t>
  </si>
  <si>
    <t>P76-RS25</t>
  </si>
  <si>
    <t>P77-RS25</t>
  </si>
  <si>
    <t>P78-RS25</t>
  </si>
  <si>
    <t>P79-RS25</t>
  </si>
  <si>
    <t>P80-RS25</t>
  </si>
  <si>
    <t>P81-RS25</t>
  </si>
  <si>
    <t>P82-RS25</t>
  </si>
  <si>
    <t>P83-RS25</t>
  </si>
  <si>
    <t>P84-RS25</t>
  </si>
  <si>
    <t>P85-RS25</t>
  </si>
  <si>
    <t>P86-RS25</t>
  </si>
  <si>
    <t>P87-RS25</t>
  </si>
  <si>
    <t>P88-RS25</t>
  </si>
  <si>
    <t>P89-RS25</t>
  </si>
  <si>
    <t>P90-RS25</t>
  </si>
  <si>
    <t>Row 16</t>
  </si>
  <si>
    <t xml:space="preserve">line 1 </t>
  </si>
  <si>
    <t>Row 17</t>
  </si>
  <si>
    <t>line 2</t>
  </si>
  <si>
    <t xml:space="preserve">line 3 </t>
  </si>
  <si>
    <t>Row 18</t>
  </si>
  <si>
    <t>Row 19</t>
  </si>
  <si>
    <t>Row 20</t>
  </si>
  <si>
    <t>Row 21</t>
  </si>
  <si>
    <t>Row 22</t>
  </si>
  <si>
    <t>Row 23</t>
  </si>
  <si>
    <t>Row 24</t>
  </si>
  <si>
    <t>Row 25</t>
  </si>
  <si>
    <t>Row 26</t>
  </si>
  <si>
    <t>Row 27</t>
  </si>
  <si>
    <t>Row 28</t>
  </si>
  <si>
    <t>Row 29</t>
  </si>
  <si>
    <t>Row 30</t>
  </si>
  <si>
    <t>Row 31</t>
  </si>
  <si>
    <t>Row 32</t>
  </si>
  <si>
    <t>Row 33</t>
  </si>
  <si>
    <t>Row 34</t>
  </si>
  <si>
    <t>Row 35</t>
  </si>
  <si>
    <t>Row 36</t>
  </si>
  <si>
    <t>Row 37</t>
  </si>
  <si>
    <t>Row 38</t>
  </si>
  <si>
    <t>Row 39</t>
  </si>
  <si>
    <t>Row 40</t>
  </si>
  <si>
    <t>Height</t>
  </si>
  <si>
    <t>Job</t>
  </si>
  <si>
    <t>Number</t>
  </si>
  <si>
    <t>Roller Shade</t>
  </si>
  <si>
    <t>Left</t>
  </si>
  <si>
    <t>Tube Size</t>
  </si>
  <si>
    <t>Tube 1</t>
  </si>
  <si>
    <t>Tube 1.5</t>
  </si>
  <si>
    <t>Tube 1.75</t>
  </si>
  <si>
    <t>Tube 2.375</t>
  </si>
  <si>
    <t>Custom</t>
  </si>
  <si>
    <t>VX Screen 8200-3  (33yards/rl)</t>
  </si>
  <si>
    <t>VX Screen 2900-5   (33 yards/rl)</t>
  </si>
  <si>
    <t>VX Screen Blackout   (30 yards/rl)</t>
  </si>
  <si>
    <t>VX Screen 3000-5   (30 yards/rl)</t>
  </si>
  <si>
    <t>VX Screen 3000-1   (30 yards/rl)</t>
  </si>
  <si>
    <t>VX Screen 3000-3   (30 yards/rl)</t>
  </si>
  <si>
    <t>Vertilux</t>
  </si>
  <si>
    <t>Rollease</t>
  </si>
  <si>
    <t>Panta Flex  Matte Black  #930</t>
  </si>
  <si>
    <t>Panta Flex  Matte Beige  #933</t>
  </si>
  <si>
    <t>Panta Flex  Matte White  #900</t>
  </si>
  <si>
    <t xml:space="preserve">Darksource Blackout </t>
  </si>
  <si>
    <t xml:space="preserve">Senbesta </t>
  </si>
  <si>
    <t>Clutch Style</t>
  </si>
  <si>
    <t>OUT DATED PRICING</t>
  </si>
  <si>
    <t xml:space="preserve">***Use only for referencing types/styles of fabric, not pricing. </t>
  </si>
  <si>
    <t xml:space="preserve">Right </t>
  </si>
  <si>
    <t>Notch Side</t>
  </si>
  <si>
    <t>V</t>
  </si>
  <si>
    <t>RR</t>
  </si>
  <si>
    <t>Green cells have drop down selections</t>
  </si>
  <si>
    <t>Sq yds used</t>
  </si>
  <si>
    <t>Ft Spline Used</t>
  </si>
  <si>
    <t>Feet</t>
  </si>
  <si>
    <t>Bracket Sets</t>
  </si>
  <si>
    <t>Hem Bar</t>
  </si>
  <si>
    <t>Chain Length</t>
  </si>
  <si>
    <t>Page#</t>
  </si>
  <si>
    <t>Fascia Brackets</t>
  </si>
  <si>
    <t>Fabric Sq. Yards</t>
  </si>
  <si>
    <t>Fabric 1</t>
  </si>
  <si>
    <t>Fabric 2</t>
  </si>
  <si>
    <t>Fabric 3</t>
  </si>
  <si>
    <t>Fabric 4</t>
  </si>
  <si>
    <t>Fabric totals for worksheet</t>
  </si>
  <si>
    <t>Price Factor</t>
  </si>
  <si>
    <t>side channel</t>
  </si>
  <si>
    <t>Tube Totals for Worksheet</t>
  </si>
  <si>
    <t># Tubes Used</t>
  </si>
  <si>
    <t>Fascia totals for Worksheet</t>
  </si>
  <si>
    <t>Color</t>
  </si>
  <si>
    <t>Inches used</t>
  </si>
  <si>
    <t>Inches Used</t>
  </si>
  <si>
    <t>White</t>
  </si>
  <si>
    <t>Alum</t>
  </si>
  <si>
    <t>Black</t>
  </si>
  <si>
    <t>Bronze</t>
  </si>
  <si>
    <t>Ft Tubes Used</t>
  </si>
  <si>
    <t>Brackets for Worksheet</t>
  </si>
  <si>
    <t>Ceiling</t>
  </si>
  <si>
    <t>Tube 1 - Rollease</t>
  </si>
  <si>
    <t>Tube 1.5, CM, Right</t>
  </si>
  <si>
    <t>Tube 1.5, CM, Left</t>
  </si>
  <si>
    <t>Tube 1.5, CM, Ceiling</t>
  </si>
  <si>
    <t>Tube 1.75, CM, Right</t>
  </si>
  <si>
    <t>Tube 1.75, CM, Left</t>
  </si>
  <si>
    <t>Tube 1.75, CM, Ceiling</t>
  </si>
  <si>
    <t>Tube 1.5, ZMC, Anodized</t>
  </si>
  <si>
    <t>Tube 1.5, ZMC, White</t>
  </si>
  <si>
    <t>Tube 1.5, ZMC, Black</t>
  </si>
  <si>
    <t>Tube 1.5, ZMC, Bronze</t>
  </si>
  <si>
    <t>Tube 1.75, ZMC, Anodized</t>
  </si>
  <si>
    <t>Tube 1.75, ZMC, White</t>
  </si>
  <si>
    <t>Tube 1.75, ZMC, Bronze</t>
  </si>
  <si>
    <t>Stentorian Data</t>
  </si>
  <si>
    <t xml:space="preserve">To determine the # of rolls needed for your job, please use the Roller Shade Summary workbook. Copy and paste your shade sizes into the Fabric 1 tab, Set parameters for roll width and RailRoad options, then click on calculate for the total. </t>
  </si>
  <si>
    <t>Fabric 1 **</t>
  </si>
  <si>
    <t>Fabric 2 **</t>
  </si>
  <si>
    <t>Fabric 3 **</t>
  </si>
  <si>
    <t>Fabric 4 **</t>
  </si>
  <si>
    <t xml:space="preserve">**If your fabric number doesn’t show up, make sure the "Price Factor" fabric drop down has been selected. </t>
  </si>
  <si>
    <t>Accepted by:</t>
  </si>
  <si>
    <t>DUE DATE:</t>
  </si>
  <si>
    <t>Bracket/</t>
  </si>
  <si>
    <t>Pricing Adjustment</t>
  </si>
  <si>
    <t>Category</t>
  </si>
  <si>
    <t>801-969-3453</t>
  </si>
  <si>
    <t>Shade Size</t>
  </si>
  <si>
    <t>Hardware</t>
  </si>
  <si>
    <t>Extension</t>
  </si>
  <si>
    <t>Side chan.</t>
  </si>
  <si>
    <t>Install</t>
  </si>
  <si>
    <t>Do Not Cut</t>
  </si>
  <si>
    <t>Installation Included</t>
  </si>
  <si>
    <t>Delivery Included</t>
  </si>
  <si>
    <t xml:space="preserve">Will Call </t>
  </si>
  <si>
    <t>Shipping Included</t>
  </si>
  <si>
    <t>Shipping NOT Included</t>
  </si>
  <si>
    <t>Shipping To Be Determined</t>
  </si>
  <si>
    <t xml:space="preserve">**NOTE: </t>
  </si>
  <si>
    <t xml:space="preserve">Quote is valid for 60 days from Bid Date. </t>
  </si>
  <si>
    <t xml:space="preserve">We look forward to supplying the above listed products, and invite  </t>
  </si>
  <si>
    <t>Customer Signature</t>
  </si>
  <si>
    <t>Clutch Kits</t>
  </si>
  <si>
    <t>1 1/2" CM Clutch</t>
  </si>
  <si>
    <t>1 3/4" CM Clutch</t>
  </si>
  <si>
    <t>1 1/2" ZMC Clutch</t>
  </si>
  <si>
    <t>1 3/4" ZMC Clutch</t>
  </si>
  <si>
    <t># Hem Bar Used</t>
  </si>
  <si>
    <t># Fascia Pcs Used</t>
  </si>
  <si>
    <t>FASCIA</t>
  </si>
  <si>
    <t>Sign (Hem Bar):</t>
  </si>
  <si>
    <t>Sign (Tube):</t>
  </si>
  <si>
    <t>Sign (Pocket/Spline):</t>
  </si>
  <si>
    <t xml:space="preserve">  Please note that all payments made with credit cards will be charged an additional 4% processing fee.</t>
  </si>
  <si>
    <t xml:space="preserve">*Upon acceptance of our quotation, please refer to our Terms &amp; Conditions as stated on our website. www.coltoninc.com </t>
  </si>
  <si>
    <t>PAGE</t>
  </si>
  <si>
    <t>CX</t>
  </si>
  <si>
    <t>Clutch = CX, CM or Rollease</t>
  </si>
  <si>
    <t>Bill to Name</t>
  </si>
  <si>
    <t>Project Name</t>
  </si>
  <si>
    <t>Fabric ONLY</t>
  </si>
  <si>
    <t>Job number</t>
  </si>
  <si>
    <t>completed by</t>
  </si>
  <si>
    <t>SHADE SHOP COPY</t>
  </si>
  <si>
    <t>date completed</t>
  </si>
  <si>
    <r>
      <t xml:space="preserve">Complete </t>
    </r>
    <r>
      <rPr>
        <b/>
        <sz val="10"/>
        <rFont val="Wingdings"/>
        <charset val="2"/>
      </rPr>
      <t>ü</t>
    </r>
  </si>
  <si>
    <t>Installation Copy</t>
  </si>
  <si>
    <t>Completion Date:</t>
  </si>
  <si>
    <t>Installer:</t>
  </si>
  <si>
    <t>Cell</t>
  </si>
  <si>
    <t>Install Rate</t>
  </si>
  <si>
    <t>Fascia Cost</t>
  </si>
  <si>
    <t>Fascia Brkts cost</t>
  </si>
  <si>
    <t>Travel &amp; Measure</t>
  </si>
  <si>
    <t>Admin Fee</t>
  </si>
  <si>
    <t>ADMIN FEES</t>
  </si>
  <si>
    <t>Yes</t>
  </si>
  <si>
    <t>No</t>
  </si>
  <si>
    <t>&lt; $500</t>
  </si>
  <si>
    <t>$500 - $1000</t>
  </si>
  <si>
    <t>$1000 - $3000</t>
  </si>
  <si>
    <t>$3000 - $8000</t>
  </si>
  <si>
    <t>$8000 +</t>
  </si>
  <si>
    <t>Allowances</t>
  </si>
  <si>
    <t>Fabric Only</t>
  </si>
  <si>
    <t>Side Rails</t>
  </si>
  <si>
    <t>7" Dual Bracket</t>
  </si>
  <si>
    <t>CM/CX Clutch</t>
  </si>
  <si>
    <t>Total Deductions</t>
  </si>
  <si>
    <t>7in Dual</t>
  </si>
  <si>
    <t>DATE:</t>
  </si>
  <si>
    <t>JLL</t>
  </si>
  <si>
    <t>Cottonwood Creek WO#I5187109-00104</t>
  </si>
  <si>
    <t>1800 W 1800 N</t>
  </si>
  <si>
    <t>Farr West, UT 84404</t>
  </si>
  <si>
    <t>Key Box #7109 East Kitchen Door</t>
  </si>
  <si>
    <t>Chapel east</t>
  </si>
  <si>
    <t>Seamed</t>
  </si>
  <si>
    <t>REVERSE ROLL</t>
  </si>
  <si>
    <t>Chapel West</t>
  </si>
  <si>
    <t>seamed</t>
  </si>
  <si>
    <t>Panta Flex Linen</t>
  </si>
  <si>
    <t>Doyle</t>
  </si>
  <si>
    <t>Room 103</t>
  </si>
  <si>
    <t>Room 104</t>
  </si>
  <si>
    <t>Room 105</t>
  </si>
  <si>
    <t>SAVE RODS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</si>
</sst>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.0000_);_(&quot;$&quot;* \(#,##0.0000\);_(&quot;$&quot;* &quot;-&quot;????_);_(@_)"/>
    <numFmt numFmtId="166" formatCode="[$-409]d\-mmm\-yy;@"/>
    <numFmt numFmtId="167" formatCode="m/d/yy;@"/>
    <numFmt numFmtId="168" formatCode="#\ ?/4"/>
  </numFmts>
  <fonts count="73" x14ac:knownFonts="1">
    <font>
      <sz val="10"/>
      <name val="Arial"/>
    </font>
    <font>
      <sz val="10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26"/>
      <name val="Arial"/>
      <family val="2"/>
    </font>
    <font>
      <b/>
      <sz val="10"/>
      <name val="MS Sans Serif"/>
      <family val="2"/>
    </font>
    <font>
      <sz val="18"/>
      <name val="MS Sans Serif"/>
      <family val="2"/>
    </font>
    <font>
      <b/>
      <sz val="24"/>
      <name val="MS Sans Serif"/>
      <family val="2"/>
    </font>
    <font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b/>
      <sz val="14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18"/>
      <color indexed="10"/>
      <name val="Arial"/>
      <family val="2"/>
    </font>
    <font>
      <i/>
      <sz val="18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7"/>
      <name val="MS Sans Serif"/>
      <family val="2"/>
    </font>
    <font>
      <u/>
      <sz val="7.5"/>
      <color indexed="12"/>
      <name val="MS Sans Serif"/>
      <family val="2"/>
    </font>
    <font>
      <b/>
      <sz val="28"/>
      <name val="Arial"/>
      <family val="2"/>
    </font>
    <font>
      <b/>
      <i/>
      <sz val="12"/>
      <color indexed="16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name val="MS Sans Serif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rgb="FFC00000"/>
      <name val="Arial"/>
      <family val="2"/>
    </font>
    <font>
      <b/>
      <sz val="12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26"/>
      <name val="Calibri"/>
      <family val="2"/>
      <scheme val="minor"/>
    </font>
    <font>
      <b/>
      <sz val="13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Calibri"/>
      <family val="2"/>
      <scheme val="minor"/>
    </font>
    <font>
      <sz val="18"/>
      <name val="Calibri"/>
      <family val="2"/>
      <scheme val="minor"/>
    </font>
    <font>
      <b/>
      <i/>
      <sz val="24"/>
      <color indexed="10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8"/>
      <color indexed="10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4"/>
      <name val="Arial"/>
      <family val="2"/>
    </font>
    <font>
      <b/>
      <sz val="10"/>
      <name val="Wingdings"/>
      <charset val="2"/>
    </font>
    <font>
      <b/>
      <sz val="26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</cellStyleXfs>
  <cellXfs count="6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2" borderId="1" xfId="0" applyFill="1" applyBorder="1"/>
    <xf numFmtId="12" fontId="0" fillId="0" borderId="0" xfId="0" applyNumberFormat="1" applyAlignment="1">
      <alignment horizontal="center"/>
    </xf>
    <xf numFmtId="12" fontId="0" fillId="0" borderId="0" xfId="0" applyNumberFormat="1"/>
    <xf numFmtId="12" fontId="0" fillId="0" borderId="15" xfId="0" applyNumberFormat="1" applyBorder="1"/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44" fontId="0" fillId="0" borderId="0" xfId="4" applyFont="1"/>
    <xf numFmtId="37" fontId="0" fillId="0" borderId="0" xfId="4" applyNumberFormat="1" applyFont="1"/>
    <xf numFmtId="165" fontId="0" fillId="0" borderId="0" xfId="4" applyNumberFormat="1" applyFont="1"/>
    <xf numFmtId="164" fontId="0" fillId="0" borderId="0" xfId="0" applyNumberFormat="1"/>
    <xf numFmtId="0" fontId="4" fillId="0" borderId="2" xfId="0" applyFont="1" applyBorder="1"/>
    <xf numFmtId="44" fontId="4" fillId="0" borderId="2" xfId="4" applyFont="1" applyBorder="1"/>
    <xf numFmtId="37" fontId="4" fillId="0" borderId="2" xfId="4" applyNumberFormat="1" applyFont="1" applyBorder="1"/>
    <xf numFmtId="165" fontId="4" fillId="0" borderId="2" xfId="4" applyNumberFormat="1" applyFont="1" applyBorder="1"/>
    <xf numFmtId="164" fontId="4" fillId="0" borderId="2" xfId="0" applyNumberFormat="1" applyFont="1" applyBorder="1"/>
    <xf numFmtId="164" fontId="0" fillId="0" borderId="2" xfId="0" applyNumberFormat="1" applyBorder="1"/>
    <xf numFmtId="44" fontId="0" fillId="0" borderId="1" xfId="4" applyFont="1" applyBorder="1"/>
    <xf numFmtId="44" fontId="0" fillId="0" borderId="2" xfId="4" applyFont="1" applyBorder="1"/>
    <xf numFmtId="44" fontId="0" fillId="0" borderId="0" xfId="4" applyFont="1" applyBorder="1"/>
    <xf numFmtId="164" fontId="0" fillId="0" borderId="16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44" fontId="18" fillId="0" borderId="2" xfId="4" applyFont="1" applyBorder="1"/>
    <xf numFmtId="0" fontId="14" fillId="0" borderId="2" xfId="0" applyFont="1" applyBorder="1"/>
    <xf numFmtId="0" fontId="4" fillId="0" borderId="0" xfId="10" applyFont="1" applyAlignment="1">
      <alignment horizontal="left"/>
    </xf>
    <xf numFmtId="0" fontId="11" fillId="0" borderId="0" xfId="10" applyFont="1"/>
    <xf numFmtId="7" fontId="4" fillId="0" borderId="0" xfId="10" quotePrefix="1" applyNumberFormat="1" applyFont="1"/>
    <xf numFmtId="0" fontId="22" fillId="0" borderId="0" xfId="10"/>
    <xf numFmtId="44" fontId="1" fillId="0" borderId="0" xfId="3" applyFont="1" applyFill="1"/>
    <xf numFmtId="0" fontId="0" fillId="0" borderId="0" xfId="0" applyAlignment="1">
      <alignment horizontal="left"/>
    </xf>
    <xf numFmtId="0" fontId="17" fillId="0" borderId="0" xfId="0" applyFont="1"/>
    <xf numFmtId="44" fontId="0" fillId="0" borderId="0" xfId="3" applyFont="1" applyFill="1"/>
    <xf numFmtId="0" fontId="29" fillId="0" borderId="0" xfId="0" applyFont="1"/>
    <xf numFmtId="0" fontId="3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1" fillId="0" borderId="0" xfId="3" applyFont="1" applyFill="1" applyAlignment="1">
      <alignment horizontal="right"/>
    </xf>
    <xf numFmtId="44" fontId="1" fillId="0" borderId="0" xfId="7" applyFont="1" applyFill="1" applyAlignment="1">
      <alignment horizontal="right"/>
    </xf>
    <xf numFmtId="44" fontId="0" fillId="0" borderId="0" xfId="3" applyFont="1" applyFill="1" applyAlignment="1">
      <alignment horizontal="right"/>
    </xf>
    <xf numFmtId="44" fontId="0" fillId="0" borderId="0" xfId="3" applyFont="1" applyFill="1" applyAlignment="1"/>
    <xf numFmtId="0" fontId="4" fillId="0" borderId="0" xfId="0" applyFont="1"/>
    <xf numFmtId="0" fontId="4" fillId="0" borderId="0" xfId="0" applyFont="1" applyAlignment="1">
      <alignment horizontal="center"/>
    </xf>
    <xf numFmtId="12" fontId="4" fillId="0" borderId="0" xfId="0" applyNumberFormat="1" applyFont="1" applyAlignment="1">
      <alignment horizontal="center"/>
    </xf>
    <xf numFmtId="0" fontId="3" fillId="0" borderId="0" xfId="0" applyFont="1"/>
    <xf numFmtId="12" fontId="3" fillId="0" borderId="0" xfId="0" applyNumberFormat="1" applyFont="1"/>
    <xf numFmtId="44" fontId="4" fillId="0" borderId="0" xfId="3" applyFont="1" applyFill="1"/>
    <xf numFmtId="44" fontId="3" fillId="0" borderId="0" xfId="3" applyFont="1" applyFill="1"/>
    <xf numFmtId="0" fontId="3" fillId="0" borderId="0" xfId="3" applyNumberFormat="1" applyFont="1" applyFill="1" applyAlignment="1"/>
    <xf numFmtId="44" fontId="3" fillId="0" borderId="1" xfId="3" applyFon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2" fontId="0" fillId="0" borderId="8" xfId="0" applyNumberFormat="1" applyBorder="1" applyAlignment="1">
      <alignment horizontal="center"/>
    </xf>
    <xf numFmtId="12" fontId="0" fillId="0" borderId="8" xfId="0" applyNumberForma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2" fontId="11" fillId="0" borderId="0" xfId="0" applyNumberFormat="1" applyFont="1" applyAlignment="1">
      <alignment horizontal="center"/>
    </xf>
    <xf numFmtId="12" fontId="11" fillId="0" borderId="0" xfId="0" applyNumberFormat="1" applyFont="1"/>
    <xf numFmtId="44" fontId="11" fillId="0" borderId="0" xfId="3" applyFont="1" applyFill="1"/>
    <xf numFmtId="0" fontId="0" fillId="0" borderId="20" xfId="0" applyBorder="1"/>
    <xf numFmtId="0" fontId="0" fillId="0" borderId="9" xfId="0" applyBorder="1"/>
    <xf numFmtId="10" fontId="1" fillId="0" borderId="0" xfId="7" applyNumberFormat="1" applyFont="1" applyFill="1"/>
    <xf numFmtId="0" fontId="16" fillId="0" borderId="0" xfId="0" applyFont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2" fontId="10" fillId="0" borderId="0" xfId="0" applyNumberFormat="1" applyFont="1"/>
    <xf numFmtId="0" fontId="36" fillId="3" borderId="8" xfId="3" applyNumberFormat="1" applyFont="1" applyFill="1" applyBorder="1"/>
    <xf numFmtId="44" fontId="30" fillId="0" borderId="0" xfId="8" quotePrefix="1" applyNumberFormat="1" applyAlignment="1" applyProtection="1"/>
    <xf numFmtId="0" fontId="37" fillId="0" borderId="0" xfId="10" applyFont="1" applyAlignment="1">
      <alignment horizontal="left"/>
    </xf>
    <xf numFmtId="0" fontId="14" fillId="0" borderId="0" xfId="0" applyFont="1" applyAlignment="1">
      <alignment horizontal="right"/>
    </xf>
    <xf numFmtId="0" fontId="5" fillId="0" borderId="0" xfId="10" applyFont="1" applyAlignment="1">
      <alignment horizontal="left"/>
    </xf>
    <xf numFmtId="44" fontId="36" fillId="4" borderId="9" xfId="3" applyFont="1" applyFill="1" applyBorder="1"/>
    <xf numFmtId="44" fontId="36" fillId="4" borderId="8" xfId="3" applyFont="1" applyFill="1" applyBorder="1"/>
    <xf numFmtId="44" fontId="36" fillId="4" borderId="0" xfId="3" applyFont="1" applyFill="1"/>
    <xf numFmtId="44" fontId="11" fillId="4" borderId="1" xfId="3" applyFont="1" applyFill="1" applyBorder="1"/>
    <xf numFmtId="0" fontId="14" fillId="0" borderId="0" xfId="0" applyFont="1"/>
    <xf numFmtId="12" fontId="0" fillId="0" borderId="1" xfId="0" applyNumberFormat="1" applyBorder="1" applyAlignment="1">
      <alignment horizontal="center"/>
    </xf>
    <xf numFmtId="0" fontId="1" fillId="0" borderId="0" xfId="14"/>
    <xf numFmtId="0" fontId="4" fillId="0" borderId="0" xfId="14" applyFont="1"/>
    <xf numFmtId="12" fontId="0" fillId="0" borderId="9" xfId="0" applyNumberFormat="1" applyBorder="1"/>
    <xf numFmtId="0" fontId="0" fillId="5" borderId="20" xfId="0" applyFill="1" applyBorder="1"/>
    <xf numFmtId="0" fontId="0" fillId="5" borderId="2" xfId="0" applyFill="1" applyBorder="1"/>
    <xf numFmtId="12" fontId="0" fillId="5" borderId="9" xfId="0" applyNumberFormat="1" applyFill="1" applyBorder="1"/>
    <xf numFmtId="0" fontId="0" fillId="3" borderId="20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2" fontId="0" fillId="3" borderId="9" xfId="0" applyNumberFormat="1" applyFill="1" applyBorder="1" applyAlignment="1">
      <alignment horizontal="center"/>
    </xf>
    <xf numFmtId="0" fontId="1" fillId="0" borderId="26" xfId="14" applyBorder="1" applyAlignment="1">
      <alignment vertical="center"/>
    </xf>
    <xf numFmtId="0" fontId="1" fillId="0" borderId="25" xfId="14" applyBorder="1" applyAlignment="1">
      <alignment vertical="center"/>
    </xf>
    <xf numFmtId="0" fontId="1" fillId="0" borderId="29" xfId="14" applyBorder="1" applyAlignment="1">
      <alignment horizontal="right" vertical="center"/>
    </xf>
    <xf numFmtId="0" fontId="1" fillId="0" borderId="22" xfId="14" applyBorder="1" applyAlignment="1">
      <alignment vertical="center"/>
    </xf>
    <xf numFmtId="0" fontId="1" fillId="0" borderId="28" xfId="14" applyBorder="1" applyAlignment="1">
      <alignment vertical="center"/>
    </xf>
    <xf numFmtId="0" fontId="1" fillId="0" borderId="0" xfId="14" applyAlignment="1">
      <alignment vertical="center"/>
    </xf>
    <xf numFmtId="0" fontId="1" fillId="0" borderId="11" xfId="14" applyBorder="1" applyAlignment="1">
      <alignment vertical="center"/>
    </xf>
    <xf numFmtId="0" fontId="1" fillId="0" borderId="5" xfId="14" applyBorder="1" applyAlignment="1">
      <alignment horizontal="right" vertical="center"/>
    </xf>
    <xf numFmtId="0" fontId="1" fillId="0" borderId="8" xfId="0" applyFont="1" applyBorder="1"/>
    <xf numFmtId="0" fontId="0" fillId="0" borderId="9" xfId="0" applyBorder="1" applyAlignment="1">
      <alignment horizontal="left"/>
    </xf>
    <xf numFmtId="0" fontId="35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top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44" fontId="36" fillId="0" borderId="0" xfId="3" applyFont="1" applyFill="1"/>
    <xf numFmtId="44" fontId="36" fillId="0" borderId="0" xfId="3" applyFont="1" applyFill="1" applyAlignment="1">
      <alignment horizontal="right"/>
    </xf>
    <xf numFmtId="10" fontId="36" fillId="0" borderId="0" xfId="3" applyNumberFormat="1" applyFont="1" applyFill="1"/>
    <xf numFmtId="44" fontId="4" fillId="0" borderId="0" xfId="3" applyFont="1" applyFill="1" applyAlignment="1">
      <alignment horizontal="right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0" fillId="0" borderId="35" xfId="0" applyBorder="1"/>
    <xf numFmtId="0" fontId="42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top"/>
    </xf>
    <xf numFmtId="0" fontId="43" fillId="0" borderId="0" xfId="0" applyFont="1"/>
    <xf numFmtId="0" fontId="45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0" fillId="0" borderId="36" xfId="0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0" xfId="0" applyFont="1"/>
    <xf numFmtId="0" fontId="1" fillId="0" borderId="15" xfId="0" applyFont="1" applyBorder="1"/>
    <xf numFmtId="0" fontId="1" fillId="0" borderId="7" xfId="0" applyFont="1" applyBorder="1"/>
    <xf numFmtId="12" fontId="1" fillId="0" borderId="15" xfId="0" applyNumberFormat="1" applyFont="1" applyBorder="1"/>
    <xf numFmtId="0" fontId="1" fillId="0" borderId="37" xfId="0" applyFont="1" applyBorder="1"/>
    <xf numFmtId="44" fontId="36" fillId="0" borderId="38" xfId="3" applyFont="1" applyFill="1" applyBorder="1"/>
    <xf numFmtId="164" fontId="1" fillId="0" borderId="0" xfId="14" applyNumberFormat="1"/>
    <xf numFmtId="165" fontId="0" fillId="0" borderId="0" xfId="15" applyNumberFormat="1" applyFont="1"/>
    <xf numFmtId="37" fontId="0" fillId="0" borderId="0" xfId="15" applyNumberFormat="1" applyFont="1"/>
    <xf numFmtId="44" fontId="0" fillId="0" borderId="0" xfId="15" applyFont="1"/>
    <xf numFmtId="0" fontId="1" fillId="2" borderId="0" xfId="14" applyFill="1"/>
    <xf numFmtId="165" fontId="0" fillId="0" borderId="0" xfId="15" applyNumberFormat="1" applyFont="1" applyBorder="1"/>
    <xf numFmtId="164" fontId="1" fillId="0" borderId="2" xfId="14" applyNumberFormat="1" applyBorder="1"/>
    <xf numFmtId="44" fontId="0" fillId="0" borderId="2" xfId="15" applyFont="1" applyBorder="1"/>
    <xf numFmtId="0" fontId="1" fillId="0" borderId="1" xfId="14" applyBorder="1"/>
    <xf numFmtId="0" fontId="1" fillId="2" borderId="1" xfId="14" applyFill="1" applyBorder="1"/>
    <xf numFmtId="0" fontId="1" fillId="0" borderId="2" xfId="14" applyBorder="1"/>
    <xf numFmtId="0" fontId="1" fillId="0" borderId="2" xfId="14" applyBorder="1" applyAlignment="1">
      <alignment wrapText="1"/>
    </xf>
    <xf numFmtId="0" fontId="1" fillId="2" borderId="2" xfId="14" applyFill="1" applyBorder="1"/>
    <xf numFmtId="164" fontId="1" fillId="0" borderId="1" xfId="14" applyNumberFormat="1" applyBorder="1"/>
    <xf numFmtId="44" fontId="0" fillId="0" borderId="1" xfId="15" applyFont="1" applyBorder="1"/>
    <xf numFmtId="0" fontId="1" fillId="0" borderId="1" xfId="14" applyBorder="1" applyAlignment="1">
      <alignment wrapText="1"/>
    </xf>
    <xf numFmtId="9" fontId="1" fillId="2" borderId="1" xfId="14" applyNumberFormat="1" applyFill="1" applyBorder="1"/>
    <xf numFmtId="0" fontId="19" fillId="2" borderId="1" xfId="14" applyFont="1" applyFill="1" applyBorder="1"/>
    <xf numFmtId="44" fontId="0" fillId="0" borderId="0" xfId="15" applyFont="1" applyBorder="1"/>
    <xf numFmtId="0" fontId="1" fillId="0" borderId="0" xfId="14" applyAlignment="1">
      <alignment wrapText="1"/>
    </xf>
    <xf numFmtId="9" fontId="1" fillId="2" borderId="0" xfId="14" applyNumberFormat="1" applyFill="1"/>
    <xf numFmtId="164" fontId="1" fillId="0" borderId="16" xfId="14" applyNumberFormat="1" applyBorder="1"/>
    <xf numFmtId="44" fontId="0" fillId="0" borderId="16" xfId="15" applyFont="1" applyBorder="1"/>
    <xf numFmtId="0" fontId="1" fillId="0" borderId="16" xfId="14" applyBorder="1"/>
    <xf numFmtId="0" fontId="1" fillId="0" borderId="16" xfId="14" applyBorder="1" applyAlignment="1">
      <alignment wrapText="1"/>
    </xf>
    <xf numFmtId="9" fontId="1" fillId="2" borderId="16" xfId="14" applyNumberFormat="1" applyFill="1" applyBorder="1"/>
    <xf numFmtId="0" fontId="1" fillId="2" borderId="16" xfId="14" applyFill="1" applyBorder="1"/>
    <xf numFmtId="9" fontId="1" fillId="2" borderId="2" xfId="14" applyNumberFormat="1" applyFill="1" applyBorder="1"/>
    <xf numFmtId="37" fontId="0" fillId="0" borderId="0" xfId="15" applyNumberFormat="1" applyFont="1" applyBorder="1"/>
    <xf numFmtId="0" fontId="19" fillId="2" borderId="0" xfId="14" applyFont="1" applyFill="1"/>
    <xf numFmtId="164" fontId="4" fillId="0" borderId="0" xfId="14" applyNumberFormat="1" applyFont="1"/>
    <xf numFmtId="165" fontId="4" fillId="0" borderId="1" xfId="15" applyNumberFormat="1" applyFont="1" applyBorder="1"/>
    <xf numFmtId="37" fontId="4" fillId="0" borderId="1" xfId="15" applyNumberFormat="1" applyFont="1" applyBorder="1"/>
    <xf numFmtId="44" fontId="4" fillId="0" borderId="1" xfId="15" applyFont="1" applyBorder="1"/>
    <xf numFmtId="0" fontId="4" fillId="0" borderId="1" xfId="14" applyFont="1" applyBorder="1"/>
    <xf numFmtId="165" fontId="4" fillId="0" borderId="0" xfId="15" applyNumberFormat="1" applyFont="1"/>
    <xf numFmtId="37" fontId="4" fillId="0" borderId="0" xfId="15" applyNumberFormat="1" applyFont="1"/>
    <xf numFmtId="44" fontId="4" fillId="0" borderId="0" xfId="15" applyFont="1"/>
    <xf numFmtId="164" fontId="1" fillId="0" borderId="0" xfId="14" quotePrefix="1" applyNumberFormat="1"/>
    <xf numFmtId="0" fontId="6" fillId="0" borderId="0" xfId="14" applyFont="1"/>
    <xf numFmtId="0" fontId="1" fillId="0" borderId="6" xfId="0" applyFont="1" applyBorder="1"/>
    <xf numFmtId="0" fontId="17" fillId="6" borderId="2" xfId="0" applyFont="1" applyFill="1" applyBorder="1"/>
    <xf numFmtId="0" fontId="0" fillId="6" borderId="2" xfId="0" applyFill="1" applyBorder="1"/>
    <xf numFmtId="0" fontId="0" fillId="6" borderId="0" xfId="0" applyFill="1"/>
    <xf numFmtId="0" fontId="0" fillId="6" borderId="1" xfId="0" applyFill="1" applyBorder="1"/>
    <xf numFmtId="0" fontId="19" fillId="6" borderId="1" xfId="0" applyFont="1" applyFill="1" applyBorder="1"/>
    <xf numFmtId="9" fontId="18" fillId="6" borderId="0" xfId="0" applyNumberFormat="1" applyFont="1" applyFill="1"/>
    <xf numFmtId="9" fontId="0" fillId="6" borderId="0" xfId="0" applyNumberFormat="1" applyFill="1"/>
    <xf numFmtId="9" fontId="0" fillId="6" borderId="2" xfId="0" applyNumberFormat="1" applyFill="1" applyBorder="1"/>
    <xf numFmtId="9" fontId="0" fillId="6" borderId="1" xfId="0" applyNumberFormat="1" applyFill="1" applyBorder="1"/>
    <xf numFmtId="0" fontId="14" fillId="6" borderId="2" xfId="0" applyFont="1" applyFill="1" applyBorder="1"/>
    <xf numFmtId="0" fontId="10" fillId="6" borderId="1" xfId="0" applyFont="1" applyFill="1" applyBorder="1"/>
    <xf numFmtId="0" fontId="13" fillId="6" borderId="1" xfId="0" applyFont="1" applyFill="1" applyBorder="1"/>
    <xf numFmtId="0" fontId="14" fillId="6" borderId="1" xfId="0" applyFont="1" applyFill="1" applyBorder="1"/>
    <xf numFmtId="0" fontId="14" fillId="6" borderId="0" xfId="0" applyFont="1" applyFill="1"/>
    <xf numFmtId="0" fontId="20" fillId="6" borderId="1" xfId="0" applyFont="1" applyFill="1" applyBorder="1"/>
    <xf numFmtId="0" fontId="21" fillId="6" borderId="1" xfId="0" applyFont="1" applyFill="1" applyBorder="1"/>
    <xf numFmtId="0" fontId="1" fillId="6" borderId="0" xfId="14" applyFill="1"/>
    <xf numFmtId="0" fontId="13" fillId="6" borderId="25" xfId="14" applyFont="1" applyFill="1" applyBorder="1"/>
    <xf numFmtId="0" fontId="1" fillId="6" borderId="26" xfId="14" applyFill="1" applyBorder="1"/>
    <xf numFmtId="0" fontId="1" fillId="6" borderId="28" xfId="14" applyFill="1" applyBorder="1"/>
    <xf numFmtId="0" fontId="1" fillId="6" borderId="22" xfId="14" applyFill="1" applyBorder="1"/>
    <xf numFmtId="44" fontId="0" fillId="6" borderId="22" xfId="15" applyFont="1" applyFill="1" applyBorder="1"/>
    <xf numFmtId="37" fontId="0" fillId="6" borderId="22" xfId="15" applyNumberFormat="1" applyFont="1" applyFill="1" applyBorder="1"/>
    <xf numFmtId="165" fontId="0" fillId="6" borderId="22" xfId="15" applyNumberFormat="1" applyFont="1" applyFill="1" applyBorder="1"/>
    <xf numFmtId="164" fontId="1" fillId="6" borderId="29" xfId="14" applyNumberFormat="1" applyFill="1" applyBorder="1"/>
    <xf numFmtId="44" fontId="0" fillId="6" borderId="26" xfId="15" applyFont="1" applyFill="1" applyBorder="1"/>
    <xf numFmtId="37" fontId="0" fillId="6" borderId="26" xfId="15" applyNumberFormat="1" applyFont="1" applyFill="1" applyBorder="1"/>
    <xf numFmtId="165" fontId="0" fillId="6" borderId="26" xfId="15" applyNumberFormat="1" applyFont="1" applyFill="1" applyBorder="1"/>
    <xf numFmtId="164" fontId="1" fillId="6" borderId="27" xfId="14" applyNumberFormat="1" applyFill="1" applyBorder="1"/>
    <xf numFmtId="0" fontId="39" fillId="6" borderId="26" xfId="14" applyFont="1" applyFill="1" applyBorder="1"/>
    <xf numFmtId="0" fontId="39" fillId="7" borderId="2" xfId="0" applyFont="1" applyFill="1" applyBorder="1" applyAlignment="1">
      <alignment horizontal="center"/>
    </xf>
    <xf numFmtId="0" fontId="0" fillId="7" borderId="2" xfId="0" applyFill="1" applyBorder="1"/>
    <xf numFmtId="12" fontId="0" fillId="7" borderId="9" xfId="0" applyNumberFormat="1" applyFill="1" applyBorder="1" applyAlignment="1">
      <alignment horizontal="center"/>
    </xf>
    <xf numFmtId="0" fontId="1" fillId="7" borderId="20" xfId="0" applyFont="1" applyFill="1" applyBorder="1"/>
    <xf numFmtId="44" fontId="1" fillId="4" borderId="0" xfId="3" applyFont="1" applyFill="1"/>
    <xf numFmtId="2" fontId="0" fillId="0" borderId="0" xfId="0" applyNumberForma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6" fillId="0" borderId="34" xfId="0" applyFont="1" applyBorder="1" applyAlignment="1">
      <alignment horizontal="center"/>
    </xf>
    <xf numFmtId="12" fontId="0" fillId="0" borderId="7" xfId="0" applyNumberFormat="1" applyBorder="1"/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4" fontId="36" fillId="4" borderId="6" xfId="3" applyFont="1" applyFill="1" applyBorder="1"/>
    <xf numFmtId="0" fontId="0" fillId="4" borderId="19" xfId="0" applyFill="1" applyBorder="1"/>
    <xf numFmtId="44" fontId="33" fillId="0" borderId="17" xfId="3" applyFont="1" applyFill="1" applyBorder="1" applyProtection="1">
      <protection locked="0"/>
    </xf>
    <xf numFmtId="0" fontId="27" fillId="0" borderId="18" xfId="7" applyNumberFormat="1" applyFont="1" applyFill="1" applyBorder="1" applyProtection="1">
      <protection locked="0"/>
    </xf>
    <xf numFmtId="10" fontId="1" fillId="0" borderId="17" xfId="12" applyNumberFormat="1" applyFont="1" applyFill="1" applyBorder="1" applyProtection="1">
      <protection locked="0"/>
    </xf>
    <xf numFmtId="44" fontId="33" fillId="0" borderId="17" xfId="3" applyFont="1" applyFill="1" applyBorder="1" applyAlignment="1" applyProtection="1">
      <alignment horizontal="center"/>
      <protection locked="0"/>
    </xf>
    <xf numFmtId="0" fontId="1" fillId="0" borderId="1" xfId="3" applyNumberFormat="1" applyFont="1" applyFill="1" applyBorder="1" applyAlignment="1" applyProtection="1">
      <alignment horizontal="left"/>
      <protection locked="0"/>
    </xf>
    <xf numFmtId="0" fontId="1" fillId="0" borderId="1" xfId="3" applyNumberFormat="1" applyFont="1" applyFill="1" applyBorder="1" applyProtection="1">
      <protection locked="0"/>
    </xf>
    <xf numFmtId="0" fontId="1" fillId="0" borderId="0" xfId="3" applyNumberFormat="1" applyFont="1" applyFill="1" applyAlignment="1" applyProtection="1">
      <alignment horizontal="left"/>
      <protection locked="0"/>
    </xf>
    <xf numFmtId="0" fontId="1" fillId="0" borderId="0" xfId="3" applyNumberFormat="1" applyFont="1" applyFill="1" applyProtection="1">
      <protection locked="0"/>
    </xf>
    <xf numFmtId="0" fontId="1" fillId="0" borderId="2" xfId="3" applyNumberFormat="1" applyFont="1" applyFill="1" applyBorder="1" applyProtection="1">
      <protection locked="0"/>
    </xf>
    <xf numFmtId="0" fontId="1" fillId="0" borderId="0" xfId="11" applyProtection="1">
      <protection locked="0"/>
    </xf>
    <xf numFmtId="0" fontId="41" fillId="0" borderId="0" xfId="11" applyFont="1" applyProtection="1">
      <protection locked="0"/>
    </xf>
    <xf numFmtId="0" fontId="46" fillId="0" borderId="0" xfId="0" applyFont="1" applyAlignment="1" applyProtection="1">
      <alignment horizontal="right"/>
      <protection locked="0"/>
    </xf>
    <xf numFmtId="0" fontId="43" fillId="0" borderId="0" xfId="11" applyFont="1" applyProtection="1">
      <protection locked="0"/>
    </xf>
    <xf numFmtId="0" fontId="27" fillId="0" borderId="0" xfId="11" applyFont="1" applyProtection="1">
      <protection locked="0"/>
    </xf>
    <xf numFmtId="0" fontId="43" fillId="0" borderId="0" xfId="0" applyFont="1" applyProtection="1">
      <protection locked="0"/>
    </xf>
    <xf numFmtId="0" fontId="44" fillId="0" borderId="0" xfId="11" applyFont="1" applyProtection="1">
      <protection locked="0"/>
    </xf>
    <xf numFmtId="0" fontId="28" fillId="0" borderId="0" xfId="11" applyFont="1" applyProtection="1">
      <protection locked="0"/>
    </xf>
    <xf numFmtId="0" fontId="1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44" fontId="36" fillId="4" borderId="8" xfId="3" applyFont="1" applyFill="1" applyBorder="1" applyProtection="1">
      <protection locked="0"/>
    </xf>
    <xf numFmtId="0" fontId="0" fillId="0" borderId="28" xfId="0" applyBorder="1"/>
    <xf numFmtId="0" fontId="0" fillId="0" borderId="11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2" fontId="0" fillId="0" borderId="1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center"/>
    </xf>
    <xf numFmtId="12" fontId="0" fillId="0" borderId="25" xfId="3" applyNumberFormat="1" applyFont="1" applyFill="1" applyBorder="1" applyAlignment="1">
      <alignment horizontal="center"/>
    </xf>
    <xf numFmtId="12" fontId="0" fillId="0" borderId="26" xfId="3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44" fontId="1" fillId="0" borderId="1" xfId="3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8" xfId="0" applyNumberFormat="1" applyBorder="1" applyAlignment="1">
      <alignment horizontal="left"/>
    </xf>
    <xf numFmtId="44" fontId="1" fillId="0" borderId="20" xfId="0" applyNumberFormat="1" applyFont="1" applyBorder="1"/>
    <xf numFmtId="43" fontId="3" fillId="0" borderId="0" xfId="0" applyNumberFormat="1" applyFont="1" applyAlignment="1">
      <alignment horizontal="center"/>
    </xf>
    <xf numFmtId="0" fontId="0" fillId="0" borderId="30" xfId="0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12" fontId="0" fillId="0" borderId="31" xfId="3" applyNumberFormat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12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12" fontId="0" fillId="0" borderId="11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12" fontId="0" fillId="0" borderId="11" xfId="0" applyNumberFormat="1" applyBorder="1" applyAlignment="1">
      <alignment horizontal="right"/>
    </xf>
    <xf numFmtId="2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12" fontId="1" fillId="0" borderId="0" xfId="0" applyNumberFormat="1" applyFont="1"/>
    <xf numFmtId="0" fontId="1" fillId="7" borderId="8" xfId="0" applyFont="1" applyFill="1" applyBorder="1" applyProtection="1">
      <protection locked="0"/>
    </xf>
    <xf numFmtId="0" fontId="14" fillId="7" borderId="8" xfId="0" applyFont="1" applyFill="1" applyBorder="1" applyProtection="1">
      <protection locked="0"/>
    </xf>
    <xf numFmtId="12" fontId="1" fillId="0" borderId="11" xfId="3" applyNumberFormat="1" applyFon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44" fontId="3" fillId="0" borderId="5" xfId="3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center"/>
    </xf>
    <xf numFmtId="0" fontId="39" fillId="0" borderId="0" xfId="0" applyFont="1" applyAlignment="1">
      <alignment wrapText="1"/>
    </xf>
    <xf numFmtId="2" fontId="0" fillId="0" borderId="1" xfId="0" applyNumberFormat="1" applyBorder="1" applyAlignment="1">
      <alignment horizontal="center"/>
    </xf>
    <xf numFmtId="12" fontId="1" fillId="0" borderId="1" xfId="0" applyNumberFormat="1" applyFont="1" applyBorder="1"/>
    <xf numFmtId="12" fontId="0" fillId="0" borderId="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right"/>
    </xf>
    <xf numFmtId="12" fontId="0" fillId="0" borderId="1" xfId="3" applyNumberFormat="1" applyFont="1" applyFill="1" applyBorder="1" applyAlignment="1">
      <alignment horizontal="right"/>
    </xf>
    <xf numFmtId="0" fontId="50" fillId="0" borderId="0" xfId="11" applyFont="1" applyAlignment="1" applyProtection="1">
      <alignment horizontal="right"/>
      <protection locked="0"/>
    </xf>
    <xf numFmtId="164" fontId="0" fillId="0" borderId="20" xfId="3" applyNumberFormat="1" applyFont="1" applyFill="1" applyBorder="1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1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2" fontId="0" fillId="0" borderId="2" xfId="0" applyNumberFormat="1" applyBorder="1" applyAlignment="1" applyProtection="1">
      <alignment horizontal="left"/>
      <protection locked="0"/>
    </xf>
    <xf numFmtId="12" fontId="0" fillId="0" borderId="2" xfId="0" applyNumberFormat="1" applyBorder="1" applyProtection="1">
      <protection locked="0"/>
    </xf>
    <xf numFmtId="12" fontId="30" fillId="0" borderId="1" xfId="8" applyNumberFormat="1" applyFill="1" applyBorder="1" applyAlignment="1" applyProtection="1"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34" fillId="0" borderId="32" xfId="0" applyFont="1" applyBorder="1"/>
    <xf numFmtId="0" fontId="34" fillId="0" borderId="18" xfId="0" applyFont="1" applyBorder="1" applyAlignment="1">
      <alignment horizontal="right"/>
    </xf>
    <xf numFmtId="0" fontId="0" fillId="0" borderId="33" xfId="0" applyBorder="1" applyProtection="1">
      <protection locked="0"/>
    </xf>
    <xf numFmtId="0" fontId="23" fillId="0" borderId="0" xfId="3" applyNumberFormat="1" applyFont="1" applyFill="1" applyAlignment="1"/>
    <xf numFmtId="44" fontId="36" fillId="0" borderId="39" xfId="3" applyFont="1" applyFill="1" applyBorder="1"/>
    <xf numFmtId="44" fontId="5" fillId="0" borderId="0" xfId="3" applyFont="1" applyFill="1" applyAlignment="1">
      <alignment horizontal="center" vertical="top"/>
    </xf>
    <xf numFmtId="44" fontId="36" fillId="0" borderId="8" xfId="3" applyFont="1" applyFill="1" applyBorder="1"/>
    <xf numFmtId="12" fontId="0" fillId="7" borderId="8" xfId="0" applyNumberFormat="1" applyFill="1" applyBorder="1" applyProtection="1">
      <protection locked="0"/>
    </xf>
    <xf numFmtId="44" fontId="1" fillId="7" borderId="40" xfId="3" applyFont="1" applyFill="1" applyBorder="1" applyAlignment="1">
      <alignment horizontal="left"/>
    </xf>
    <xf numFmtId="0" fontId="13" fillId="0" borderId="27" xfId="14" applyFont="1" applyBorder="1" applyAlignment="1">
      <alignment horizontal="right" vertical="center"/>
    </xf>
    <xf numFmtId="0" fontId="1" fillId="0" borderId="0" xfId="10" applyFont="1"/>
    <xf numFmtId="7" fontId="1" fillId="0" borderId="0" xfId="10" applyNumberFormat="1" applyFont="1" applyAlignment="1">
      <alignment horizontal="left"/>
    </xf>
    <xf numFmtId="0" fontId="4" fillId="0" borderId="0" xfId="10" applyFont="1" applyAlignment="1">
      <alignment horizontal="right"/>
    </xf>
    <xf numFmtId="44" fontId="1" fillId="0" borderId="0" xfId="10" applyNumberFormat="1" applyFont="1"/>
    <xf numFmtId="7" fontId="1" fillId="0" borderId="0" xfId="10" applyNumberFormat="1" applyFont="1"/>
    <xf numFmtId="10" fontId="1" fillId="0" borderId="0" xfId="10" applyNumberFormat="1" applyFont="1" applyAlignment="1">
      <alignment horizontal="left"/>
    </xf>
    <xf numFmtId="44" fontId="1" fillId="0" borderId="1" xfId="10" quotePrefix="1" applyNumberFormat="1" applyFont="1" applyBorder="1"/>
    <xf numFmtId="10" fontId="1" fillId="0" borderId="0" xfId="10" applyNumberFormat="1" applyFont="1"/>
    <xf numFmtId="0" fontId="4" fillId="0" borderId="0" xfId="10" applyFont="1"/>
    <xf numFmtId="0" fontId="1" fillId="0" borderId="1" xfId="10" applyFont="1" applyBorder="1"/>
    <xf numFmtId="44" fontId="1" fillId="0" borderId="0" xfId="8" applyNumberFormat="1" applyFont="1" applyAlignment="1" applyProtection="1"/>
    <xf numFmtId="0" fontId="3" fillId="0" borderId="28" xfId="0" applyFont="1" applyBorder="1"/>
    <xf numFmtId="0" fontId="3" fillId="0" borderId="22" xfId="0" applyFont="1" applyBorder="1"/>
    <xf numFmtId="0" fontId="0" fillId="0" borderId="29" xfId="0" applyBorder="1"/>
    <xf numFmtId="1" fontId="0" fillId="0" borderId="8" xfId="0" applyNumberFormat="1" applyBorder="1"/>
    <xf numFmtId="12" fontId="0" fillId="0" borderId="17" xfId="0" applyNumberFormat="1" applyBorder="1"/>
    <xf numFmtId="12" fontId="0" fillId="0" borderId="5" xfId="3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0" fontId="39" fillId="0" borderId="11" xfId="0" applyFont="1" applyBorder="1" applyAlignment="1">
      <alignment wrapText="1"/>
    </xf>
    <xf numFmtId="0" fontId="39" fillId="0" borderId="25" xfId="0" applyFont="1" applyBorder="1" applyAlignment="1">
      <alignment wrapText="1"/>
    </xf>
    <xf numFmtId="0" fontId="1" fillId="0" borderId="26" xfId="0" applyFont="1" applyBorder="1" applyAlignment="1">
      <alignment horizontal="center"/>
    </xf>
    <xf numFmtId="44" fontId="11" fillId="0" borderId="1" xfId="3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12" fontId="1" fillId="0" borderId="0" xfId="0" applyNumberFormat="1" applyFont="1" applyAlignment="1">
      <alignment horizontal="center"/>
    </xf>
    <xf numFmtId="0" fontId="0" fillId="4" borderId="8" xfId="0" applyFill="1" applyBorder="1"/>
    <xf numFmtId="0" fontId="16" fillId="0" borderId="0" xfId="0" applyFont="1" applyAlignment="1">
      <alignment horizontal="right"/>
    </xf>
    <xf numFmtId="0" fontId="13" fillId="0" borderId="0" xfId="16" applyFont="1"/>
    <xf numFmtId="0" fontId="16" fillId="0" borderId="0" xfId="16" applyFont="1"/>
    <xf numFmtId="0" fontId="1" fillId="0" borderId="0" xfId="16"/>
    <xf numFmtId="0" fontId="26" fillId="0" borderId="0" xfId="16" applyFont="1"/>
    <xf numFmtId="0" fontId="4" fillId="0" borderId="0" xfId="16" applyFont="1"/>
    <xf numFmtId="0" fontId="25" fillId="0" borderId="0" xfId="16" applyFont="1"/>
    <xf numFmtId="0" fontId="1" fillId="0" borderId="0" xfId="16" applyAlignment="1">
      <alignment horizontal="center"/>
    </xf>
    <xf numFmtId="0" fontId="51" fillId="8" borderId="21" xfId="16" applyFont="1" applyFill="1" applyBorder="1"/>
    <xf numFmtId="0" fontId="52" fillId="0" borderId="22" xfId="16" applyFont="1" applyBorder="1"/>
    <xf numFmtId="0" fontId="53" fillId="0" borderId="22" xfId="16" applyFont="1" applyBorder="1"/>
    <xf numFmtId="0" fontId="54" fillId="0" borderId="0" xfId="16" applyFont="1" applyAlignment="1">
      <alignment horizontal="center"/>
    </xf>
    <xf numFmtId="0" fontId="58" fillId="8" borderId="23" xfId="16" applyFont="1" applyFill="1" applyBorder="1"/>
    <xf numFmtId="0" fontId="10" fillId="0" borderId="0" xfId="16" applyFont="1"/>
    <xf numFmtId="0" fontId="55" fillId="8" borderId="23" xfId="16" applyFont="1" applyFill="1" applyBorder="1"/>
    <xf numFmtId="0" fontId="52" fillId="0" borderId="3" xfId="16" applyFont="1" applyBorder="1"/>
    <xf numFmtId="0" fontId="52" fillId="0" borderId="4" xfId="16" applyFont="1" applyBorder="1"/>
    <xf numFmtId="0" fontId="67" fillId="8" borderId="23" xfId="16" applyFont="1" applyFill="1" applyBorder="1"/>
    <xf numFmtId="0" fontId="51" fillId="8" borderId="23" xfId="16" applyFont="1" applyFill="1" applyBorder="1"/>
    <xf numFmtId="0" fontId="52" fillId="0" borderId="2" xfId="16" applyFont="1" applyBorder="1"/>
    <xf numFmtId="0" fontId="52" fillId="0" borderId="16" xfId="16" applyFont="1" applyBorder="1"/>
    <xf numFmtId="0" fontId="52" fillId="0" borderId="14" xfId="16" applyFont="1" applyBorder="1"/>
    <xf numFmtId="0" fontId="52" fillId="0" borderId="0" xfId="16" applyFont="1"/>
    <xf numFmtId="0" fontId="51" fillId="8" borderId="42" xfId="16" applyFont="1" applyFill="1" applyBorder="1"/>
    <xf numFmtId="0" fontId="52" fillId="0" borderId="44" xfId="16" applyFont="1" applyBorder="1"/>
    <xf numFmtId="0" fontId="52" fillId="0" borderId="5" xfId="16" applyFont="1" applyBorder="1"/>
    <xf numFmtId="0" fontId="51" fillId="0" borderId="11" xfId="16" applyFont="1" applyBorder="1"/>
    <xf numFmtId="12" fontId="51" fillId="0" borderId="0" xfId="16" applyNumberFormat="1" applyFont="1"/>
    <xf numFmtId="0" fontId="51" fillId="0" borderId="0" xfId="16" applyFont="1"/>
    <xf numFmtId="0" fontId="52" fillId="0" borderId="0" xfId="16" applyFont="1" applyAlignment="1">
      <alignment horizontal="center"/>
    </xf>
    <xf numFmtId="12" fontId="52" fillId="0" borderId="5" xfId="16" applyNumberFormat="1" applyFont="1" applyBorder="1"/>
    <xf numFmtId="12" fontId="52" fillId="0" borderId="0" xfId="16" applyNumberFormat="1" applyFont="1"/>
    <xf numFmtId="0" fontId="51" fillId="8" borderId="24" xfId="16" applyFont="1" applyFill="1" applyBorder="1"/>
    <xf numFmtId="0" fontId="53" fillId="0" borderId="0" xfId="16" applyFont="1"/>
    <xf numFmtId="0" fontId="53" fillId="0" borderId="5" xfId="16" applyFont="1" applyBorder="1"/>
    <xf numFmtId="0" fontId="51" fillId="8" borderId="41" xfId="16" applyFont="1" applyFill="1" applyBorder="1"/>
    <xf numFmtId="0" fontId="57" fillId="0" borderId="8" xfId="16" applyFont="1" applyBorder="1"/>
    <xf numFmtId="0" fontId="57" fillId="0" borderId="14" xfId="16" applyFont="1" applyBorder="1"/>
    <xf numFmtId="0" fontId="57" fillId="0" borderId="0" xfId="16" applyFont="1"/>
    <xf numFmtId="0" fontId="57" fillId="0" borderId="10" xfId="16" applyFont="1" applyBorder="1"/>
    <xf numFmtId="0" fontId="11" fillId="0" borderId="0" xfId="16" applyFont="1"/>
    <xf numFmtId="0" fontId="51" fillId="8" borderId="12" xfId="16" applyFont="1" applyFill="1" applyBorder="1"/>
    <xf numFmtId="2" fontId="51" fillId="8" borderId="6" xfId="16" applyNumberFormat="1" applyFont="1" applyFill="1" applyBorder="1"/>
    <xf numFmtId="0" fontId="57" fillId="0" borderId="10" xfId="16" applyFont="1" applyBorder="1" applyAlignment="1">
      <alignment horizontal="left"/>
    </xf>
    <xf numFmtId="12" fontId="59" fillId="0" borderId="13" xfId="16" applyNumberFormat="1" applyFont="1" applyBorder="1"/>
    <xf numFmtId="1" fontId="59" fillId="0" borderId="7" xfId="16" applyNumberFormat="1" applyFont="1" applyBorder="1" applyAlignment="1">
      <alignment horizontal="center"/>
    </xf>
    <xf numFmtId="0" fontId="61" fillId="0" borderId="25" xfId="16" applyFont="1" applyBorder="1" applyAlignment="1">
      <alignment horizontal="center"/>
    </xf>
    <xf numFmtId="0" fontId="62" fillId="0" borderId="26" xfId="16" applyFont="1" applyBorder="1"/>
    <xf numFmtId="0" fontId="53" fillId="0" borderId="26" xfId="16" applyFont="1" applyBorder="1"/>
    <xf numFmtId="0" fontId="53" fillId="0" borderId="27" xfId="16" applyFont="1" applyBorder="1"/>
    <xf numFmtId="0" fontId="60" fillId="0" borderId="25" xfId="16" applyFont="1" applyBorder="1"/>
    <xf numFmtId="0" fontId="8" fillId="0" borderId="0" xfId="16" applyFont="1"/>
    <xf numFmtId="0" fontId="9" fillId="0" borderId="0" xfId="16" applyFont="1"/>
    <xf numFmtId="0" fontId="60" fillId="0" borderId="0" xfId="16" applyFont="1"/>
    <xf numFmtId="0" fontId="62" fillId="0" borderId="0" xfId="16" applyFont="1"/>
    <xf numFmtId="0" fontId="53" fillId="0" borderId="0" xfId="16" applyFont="1" applyAlignment="1">
      <alignment horizontal="center"/>
    </xf>
    <xf numFmtId="0" fontId="64" fillId="0" borderId="0" xfId="16" applyFont="1"/>
    <xf numFmtId="0" fontId="67" fillId="0" borderId="26" xfId="16" applyFont="1" applyBorder="1"/>
    <xf numFmtId="0" fontId="1" fillId="0" borderId="0" xfId="0" quotePrefix="1" applyFont="1"/>
    <xf numFmtId="12" fontId="1" fillId="0" borderId="0" xfId="0" quotePrefix="1" applyNumberFormat="1" applyFont="1"/>
    <xf numFmtId="12" fontId="0" fillId="0" borderId="8" xfId="0" applyNumberFormat="1" applyBorder="1" applyAlignment="1" applyProtection="1">
      <alignment horizontal="center"/>
      <protection locked="0"/>
    </xf>
    <xf numFmtId="0" fontId="4" fillId="0" borderId="8" xfId="0" applyFont="1" applyBorder="1"/>
    <xf numFmtId="12" fontId="1" fillId="0" borderId="1" xfId="0" applyNumberFormat="1" applyFont="1" applyBorder="1" applyProtection="1">
      <protection locked="0"/>
    </xf>
    <xf numFmtId="12" fontId="1" fillId="0" borderId="2" xfId="0" applyNumberFormat="1" applyFont="1" applyBorder="1" applyAlignment="1" applyProtection="1">
      <alignment horizontal="left"/>
      <protection locked="0"/>
    </xf>
    <xf numFmtId="12" fontId="1" fillId="0" borderId="2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2" fontId="1" fillId="0" borderId="8" xfId="0" applyNumberFormat="1" applyFont="1" applyBorder="1" applyAlignment="1" applyProtection="1">
      <alignment horizontal="center"/>
      <protection locked="0"/>
    </xf>
    <xf numFmtId="0" fontId="1" fillId="0" borderId="0" xfId="10" applyFont="1" applyAlignment="1">
      <alignment horizontal="left"/>
    </xf>
    <xf numFmtId="0" fontId="58" fillId="0" borderId="0" xfId="16" applyFont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14" applyAlignment="1">
      <alignment horizontal="right" vertical="center"/>
    </xf>
    <xf numFmtId="0" fontId="22" fillId="0" borderId="0" xfId="16" applyFont="1"/>
    <xf numFmtId="166" fontId="22" fillId="0" borderId="0" xfId="16" applyNumberFormat="1" applyFont="1" applyAlignment="1">
      <alignment horizontal="center"/>
    </xf>
    <xf numFmtId="12" fontId="1" fillId="0" borderId="0" xfId="10" applyNumberFormat="1" applyFont="1" applyAlignment="1">
      <alignment horizontal="left"/>
    </xf>
    <xf numFmtId="0" fontId="12" fillId="0" borderId="0" xfId="16" applyFont="1"/>
    <xf numFmtId="0" fontId="23" fillId="0" borderId="0" xfId="10" applyFont="1" applyAlignment="1">
      <alignment horizontal="left"/>
    </xf>
    <xf numFmtId="0" fontId="24" fillId="0" borderId="0" xfId="10" applyFont="1" applyAlignment="1">
      <alignment horizontal="left"/>
    </xf>
    <xf numFmtId="0" fontId="38" fillId="0" borderId="0" xfId="16" applyFont="1"/>
    <xf numFmtId="0" fontId="66" fillId="0" borderId="0" xfId="10" applyFont="1"/>
    <xf numFmtId="0" fontId="65" fillId="0" borderId="0" xfId="10" applyFont="1"/>
    <xf numFmtId="0" fontId="4" fillId="0" borderId="0" xfId="10" applyFont="1" applyAlignment="1">
      <alignment horizontal="center"/>
    </xf>
    <xf numFmtId="7" fontId="4" fillId="0" borderId="0" xfId="10" applyNumberFormat="1" applyFont="1"/>
    <xf numFmtId="0" fontId="13" fillId="0" borderId="0" xfId="10" applyFont="1"/>
    <xf numFmtId="0" fontId="1" fillId="0" borderId="37" xfId="16" applyBorder="1" applyAlignment="1">
      <alignment horizontal="center"/>
    </xf>
    <xf numFmtId="12" fontId="24" fillId="0" borderId="39" xfId="16" applyNumberFormat="1" applyFont="1" applyBorder="1" applyAlignment="1">
      <alignment horizontal="center"/>
    </xf>
    <xf numFmtId="12" fontId="24" fillId="0" borderId="1" xfId="16" applyNumberFormat="1" applyFont="1" applyBorder="1" applyAlignment="1">
      <alignment horizontal="center"/>
    </xf>
    <xf numFmtId="12" fontId="24" fillId="0" borderId="36" xfId="16" applyNumberFormat="1" applyFont="1" applyBorder="1" applyAlignment="1">
      <alignment horizontal="center"/>
    </xf>
    <xf numFmtId="12" fontId="24" fillId="0" borderId="0" xfId="16" applyNumberFormat="1" applyFont="1" applyAlignment="1">
      <alignment horizontal="center"/>
    </xf>
    <xf numFmtId="12" fontId="24" fillId="0" borderId="38" xfId="16" applyNumberFormat="1" applyFont="1" applyBorder="1" applyAlignment="1">
      <alignment horizontal="center"/>
    </xf>
    <xf numFmtId="12" fontId="24" fillId="0" borderId="35" xfId="16" applyNumberFormat="1" applyFont="1" applyBorder="1" applyAlignment="1">
      <alignment horizontal="center"/>
    </xf>
    <xf numFmtId="0" fontId="1" fillId="0" borderId="38" xfId="16" applyBorder="1" applyAlignment="1">
      <alignment horizontal="center"/>
    </xf>
    <xf numFmtId="0" fontId="24" fillId="0" borderId="0" xfId="16" applyFont="1" applyAlignment="1">
      <alignment horizontal="center"/>
    </xf>
    <xf numFmtId="0" fontId="24" fillId="0" borderId="0" xfId="16" applyFont="1"/>
    <xf numFmtId="12" fontId="24" fillId="0" borderId="8" xfId="16" applyNumberFormat="1" applyFont="1" applyBorder="1" applyAlignment="1">
      <alignment horizontal="center"/>
    </xf>
    <xf numFmtId="12" fontId="30" fillId="0" borderId="0" xfId="8" applyNumberFormat="1" applyFill="1" applyBorder="1" applyAlignment="1" applyProtection="1">
      <protection locked="0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1" fillId="0" borderId="0" xfId="16" applyAlignment="1">
      <alignment horizontal="left"/>
    </xf>
    <xf numFmtId="12" fontId="1" fillId="0" borderId="0" xfId="16" applyNumberFormat="1" applyAlignment="1">
      <alignment horizontal="center"/>
    </xf>
    <xf numFmtId="12" fontId="1" fillId="0" borderId="0" xfId="16" applyNumberFormat="1"/>
    <xf numFmtId="0" fontId="17" fillId="0" borderId="0" xfId="16" applyFont="1"/>
    <xf numFmtId="0" fontId="29" fillId="0" borderId="0" xfId="16" applyFont="1"/>
    <xf numFmtId="0" fontId="32" fillId="0" borderId="0" xfId="16" applyFont="1"/>
    <xf numFmtId="15" fontId="1" fillId="0" borderId="0" xfId="16" applyNumberFormat="1"/>
    <xf numFmtId="0" fontId="41" fillId="0" borderId="0" xfId="16" applyFont="1"/>
    <xf numFmtId="0" fontId="2" fillId="0" borderId="0" xfId="16" applyFont="1" applyAlignment="1">
      <alignment horizontal="center"/>
    </xf>
    <xf numFmtId="0" fontId="1" fillId="0" borderId="0" xfId="16" applyAlignment="1">
      <alignment horizontal="right"/>
    </xf>
    <xf numFmtId="12" fontId="1" fillId="0" borderId="1" xfId="16" applyNumberFormat="1" applyBorder="1" applyAlignment="1" applyProtection="1">
      <alignment horizontal="left"/>
      <protection locked="0"/>
    </xf>
    <xf numFmtId="12" fontId="1" fillId="0" borderId="1" xfId="16" applyNumberFormat="1" applyBorder="1" applyProtection="1">
      <protection locked="0"/>
    </xf>
    <xf numFmtId="12" fontId="1" fillId="0" borderId="0" xfId="16" applyNumberFormat="1" applyProtection="1">
      <protection locked="0"/>
    </xf>
    <xf numFmtId="0" fontId="1" fillId="0" borderId="1" xfId="16" applyBorder="1"/>
    <xf numFmtId="0" fontId="1" fillId="0" borderId="1" xfId="16" applyBorder="1" applyProtection="1">
      <protection locked="0"/>
    </xf>
    <xf numFmtId="0" fontId="1" fillId="0" borderId="1" xfId="16" applyBorder="1" applyAlignment="1" applyProtection="1">
      <alignment horizontal="right"/>
      <protection locked="0"/>
    </xf>
    <xf numFmtId="0" fontId="46" fillId="0" borderId="0" xfId="16" applyFont="1" applyAlignment="1" applyProtection="1">
      <alignment horizontal="right"/>
      <protection locked="0"/>
    </xf>
    <xf numFmtId="0" fontId="4" fillId="0" borderId="17" xfId="16" applyFont="1" applyBorder="1" applyAlignment="1" applyProtection="1">
      <alignment horizontal="center"/>
      <protection locked="0"/>
    </xf>
    <xf numFmtId="12" fontId="5" fillId="0" borderId="0" xfId="16" applyNumberFormat="1" applyFont="1" applyAlignment="1" applyProtection="1">
      <alignment vertical="top"/>
      <protection locked="0"/>
    </xf>
    <xf numFmtId="0" fontId="1" fillId="0" borderId="0" xfId="16" applyProtection="1">
      <protection locked="0"/>
    </xf>
    <xf numFmtId="0" fontId="43" fillId="0" borderId="0" xfId="16" applyFont="1" applyProtection="1">
      <protection locked="0"/>
    </xf>
    <xf numFmtId="0" fontId="4" fillId="0" borderId="0" xfId="16" applyFont="1" applyAlignment="1" applyProtection="1">
      <alignment horizontal="left"/>
      <protection locked="0"/>
    </xf>
    <xf numFmtId="0" fontId="43" fillId="0" borderId="0" xfId="16" applyFont="1"/>
    <xf numFmtId="0" fontId="45" fillId="0" borderId="0" xfId="16" applyFont="1" applyAlignment="1">
      <alignment horizontal="center"/>
    </xf>
    <xf numFmtId="0" fontId="35" fillId="0" borderId="0" xfId="16" applyFont="1" applyAlignment="1">
      <alignment horizontal="center"/>
    </xf>
    <xf numFmtId="0" fontId="42" fillId="0" borderId="0" xfId="16" applyFont="1" applyAlignment="1">
      <alignment horizontal="center"/>
    </xf>
    <xf numFmtId="0" fontId="35" fillId="0" borderId="0" xfId="16" applyFont="1"/>
    <xf numFmtId="12" fontId="4" fillId="0" borderId="0" xfId="16" applyNumberFormat="1" applyFont="1" applyAlignment="1">
      <alignment horizontal="center"/>
    </xf>
    <xf numFmtId="0" fontId="3" fillId="0" borderId="0" xfId="16" applyFont="1"/>
    <xf numFmtId="12" fontId="3" fillId="0" borderId="0" xfId="16" applyNumberFormat="1" applyFont="1"/>
    <xf numFmtId="0" fontId="42" fillId="0" borderId="1" xfId="16" applyFont="1" applyBorder="1" applyAlignment="1">
      <alignment horizontal="center" vertical="top"/>
    </xf>
    <xf numFmtId="0" fontId="35" fillId="0" borderId="1" xfId="16" applyFont="1" applyBorder="1" applyAlignment="1">
      <alignment horizontal="center" vertical="top"/>
    </xf>
    <xf numFmtId="0" fontId="1" fillId="0" borderId="8" xfId="16" applyBorder="1"/>
    <xf numFmtId="0" fontId="1" fillId="0" borderId="8" xfId="16" applyBorder="1" applyAlignment="1">
      <alignment horizontal="center"/>
    </xf>
    <xf numFmtId="12" fontId="1" fillId="0" borderId="8" xfId="16" applyNumberFormat="1" applyBorder="1" applyProtection="1">
      <protection locked="0"/>
    </xf>
    <xf numFmtId="0" fontId="1" fillId="0" borderId="8" xfId="16" applyBorder="1" applyAlignment="1" applyProtection="1">
      <alignment horizontal="center"/>
      <protection locked="0"/>
    </xf>
    <xf numFmtId="0" fontId="11" fillId="0" borderId="0" xfId="16" applyFont="1" applyAlignment="1">
      <alignment horizontal="left"/>
    </xf>
    <xf numFmtId="12" fontId="11" fillId="0" borderId="0" xfId="16" applyNumberFormat="1" applyFont="1" applyAlignment="1">
      <alignment horizontal="center"/>
    </xf>
    <xf numFmtId="12" fontId="11" fillId="0" borderId="0" xfId="16" applyNumberFormat="1" applyFont="1"/>
    <xf numFmtId="0" fontId="11" fillId="0" borderId="0" xfId="16" applyFont="1" applyAlignment="1">
      <alignment horizontal="center"/>
    </xf>
    <xf numFmtId="0" fontId="34" fillId="0" borderId="32" xfId="16" applyFont="1" applyBorder="1"/>
    <xf numFmtId="0" fontId="34" fillId="0" borderId="18" xfId="16" applyFont="1" applyBorder="1" applyAlignment="1">
      <alignment horizontal="right"/>
    </xf>
    <xf numFmtId="0" fontId="1" fillId="0" borderId="33" xfId="16" applyBorder="1" applyProtection="1">
      <protection locked="0"/>
    </xf>
    <xf numFmtId="0" fontId="13" fillId="0" borderId="0" xfId="16" applyFont="1" applyAlignment="1">
      <alignment horizontal="right"/>
    </xf>
    <xf numFmtId="12" fontId="13" fillId="0" borderId="0" xfId="16" applyNumberFormat="1" applyFont="1"/>
    <xf numFmtId="0" fontId="39" fillId="0" borderId="0" xfId="16" applyFont="1" applyAlignment="1">
      <alignment horizontal="center"/>
    </xf>
    <xf numFmtId="0" fontId="47" fillId="0" borderId="0" xfId="16" applyFont="1"/>
    <xf numFmtId="0" fontId="58" fillId="0" borderId="0" xfId="16" applyFont="1"/>
    <xf numFmtId="0" fontId="72" fillId="0" borderId="0" xfId="16" applyFont="1" applyProtection="1">
      <protection locked="0"/>
    </xf>
    <xf numFmtId="1" fontId="63" fillId="0" borderId="0" xfId="16" applyNumberFormat="1" applyFont="1" applyProtection="1">
      <protection locked="0"/>
    </xf>
    <xf numFmtId="1" fontId="63" fillId="0" borderId="0" xfId="16" applyNumberFormat="1" applyFont="1" applyAlignment="1" applyProtection="1">
      <alignment horizontal="right"/>
      <protection locked="0"/>
    </xf>
    <xf numFmtId="1" fontId="63" fillId="0" borderId="1" xfId="16" applyNumberFormat="1" applyFont="1" applyBorder="1" applyProtection="1">
      <protection locked="0"/>
    </xf>
    <xf numFmtId="0" fontId="53" fillId="0" borderId="0" xfId="16" applyFont="1" applyProtection="1">
      <protection locked="0"/>
    </xf>
    <xf numFmtId="0" fontId="4" fillId="0" borderId="8" xfId="16" applyFont="1" applyBorder="1" applyAlignment="1">
      <alignment horizontal="center" textRotation="90"/>
    </xf>
    <xf numFmtId="44" fontId="1" fillId="0" borderId="0" xfId="3" applyFont="1" applyFill="1" applyBorder="1" applyAlignment="1">
      <alignment horizontal="right"/>
    </xf>
    <xf numFmtId="12" fontId="1" fillId="0" borderId="8" xfId="16" applyNumberFormat="1" applyBorder="1"/>
    <xf numFmtId="12" fontId="1" fillId="0" borderId="16" xfId="0" applyNumberFormat="1" applyFont="1" applyBorder="1"/>
    <xf numFmtId="12" fontId="0" fillId="0" borderId="16" xfId="3" applyNumberFormat="1" applyFont="1" applyFill="1" applyBorder="1" applyAlignment="1">
      <alignment horizontal="center"/>
    </xf>
    <xf numFmtId="49" fontId="14" fillId="0" borderId="17" xfId="3" applyNumberFormat="1" applyFont="1" applyFill="1" applyBorder="1" applyAlignment="1" applyProtection="1">
      <alignment horizontal="center"/>
      <protection locked="0"/>
    </xf>
    <xf numFmtId="12" fontId="1" fillId="0" borderId="1" xfId="0" applyNumberFormat="1" applyFont="1" applyBorder="1" applyAlignment="1" applyProtection="1">
      <alignment horizontal="right"/>
      <protection locked="0"/>
    </xf>
    <xf numFmtId="0" fontId="1" fillId="0" borderId="0" xfId="16" applyAlignment="1" applyProtection="1">
      <alignment horizontal="right"/>
      <protection locked="0"/>
    </xf>
    <xf numFmtId="44" fontId="0" fillId="0" borderId="17" xfId="3" applyFont="1" applyFill="1" applyBorder="1"/>
    <xf numFmtId="0" fontId="1" fillId="0" borderId="0" xfId="0" applyFont="1" applyAlignment="1">
      <alignment horizontal="right"/>
    </xf>
    <xf numFmtId="44" fontId="39" fillId="0" borderId="0" xfId="3" applyFont="1" applyAlignment="1">
      <alignment wrapText="1"/>
    </xf>
    <xf numFmtId="44" fontId="0" fillId="0" borderId="0" xfId="3" applyFont="1" applyAlignment="1">
      <alignment horizontal="center"/>
    </xf>
    <xf numFmtId="44" fontId="0" fillId="0" borderId="0" xfId="3" applyFont="1"/>
    <xf numFmtId="44" fontId="39" fillId="0" borderId="0" xfId="3" applyFont="1"/>
    <xf numFmtId="44" fontId="39" fillId="0" borderId="0" xfId="3" applyFont="1" applyAlignment="1">
      <alignment horizontal="center"/>
    </xf>
    <xf numFmtId="0" fontId="0" fillId="7" borderId="8" xfId="0" applyFill="1" applyBorder="1" applyProtection="1">
      <protection locked="0"/>
    </xf>
    <xf numFmtId="168" fontId="1" fillId="0" borderId="8" xfId="16" applyNumberFormat="1" applyBorder="1"/>
    <xf numFmtId="12" fontId="1" fillId="0" borderId="16" xfId="0" applyNumberFormat="1" applyFont="1" applyBorder="1" applyAlignment="1" applyProtection="1">
      <alignment horizontal="left"/>
      <protection locked="0"/>
    </xf>
    <xf numFmtId="12" fontId="1" fillId="0" borderId="1" xfId="0" applyNumberFormat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15" fontId="1" fillId="0" borderId="0" xfId="0" applyNumberFormat="1" applyFont="1" applyAlignment="1">
      <alignment horizontal="right"/>
    </xf>
    <xf numFmtId="0" fontId="11" fillId="3" borderId="8" xfId="3" applyNumberFormat="1" applyFont="1" applyFill="1" applyBorder="1"/>
    <xf numFmtId="1" fontId="63" fillId="0" borderId="1" xfId="0" applyNumberFormat="1" applyFont="1" applyBorder="1" applyProtection="1">
      <protection locked="0"/>
    </xf>
    <xf numFmtId="0" fontId="53" fillId="0" borderId="1" xfId="0" applyFont="1" applyBorder="1" applyAlignment="1" applyProtection="1">
      <alignment horizontal="left"/>
      <protection locked="0"/>
    </xf>
    <xf numFmtId="0" fontId="53" fillId="0" borderId="2" xfId="0" applyFont="1" applyBorder="1" applyProtection="1">
      <protection locked="0"/>
    </xf>
    <xf numFmtId="0" fontId="58" fillId="0" borderId="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31" fillId="0" borderId="0" xfId="10" applyFont="1" applyAlignment="1">
      <alignment horizontal="center"/>
    </xf>
    <xf numFmtId="0" fontId="1" fillId="0" borderId="0" xfId="10" applyFont="1" applyAlignment="1">
      <alignment horizontal="left"/>
    </xf>
    <xf numFmtId="0" fontId="1" fillId="0" borderId="1" xfId="16" applyBorder="1" applyAlignment="1">
      <alignment horizontal="center"/>
    </xf>
    <xf numFmtId="0" fontId="5" fillId="0" borderId="0" xfId="10" applyFont="1" applyAlignment="1">
      <alignment horizontal="center" wrapText="1"/>
    </xf>
    <xf numFmtId="0" fontId="3" fillId="0" borderId="0" xfId="0" applyFont="1" applyAlignment="1">
      <alignment horizontal="center"/>
    </xf>
    <xf numFmtId="0" fontId="49" fillId="0" borderId="3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47" fillId="0" borderId="0" xfId="0" applyFont="1" applyAlignment="1">
      <alignment horizontal="center"/>
    </xf>
    <xf numFmtId="167" fontId="1" fillId="0" borderId="20" xfId="0" applyNumberFormat="1" applyFont="1" applyBorder="1" applyAlignment="1" applyProtection="1">
      <alignment horizontal="center"/>
      <protection locked="0"/>
    </xf>
    <xf numFmtId="167" fontId="1" fillId="0" borderId="9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1" fillId="0" borderId="32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11" fillId="0" borderId="16" xfId="0" applyFont="1" applyBorder="1" applyAlignment="1">
      <alignment horizontal="right"/>
    </xf>
    <xf numFmtId="0" fontId="14" fillId="7" borderId="37" xfId="0" applyFont="1" applyFill="1" applyBorder="1" applyAlignment="1">
      <alignment horizontal="left"/>
    </xf>
    <xf numFmtId="0" fontId="14" fillId="7" borderId="16" xfId="0" applyFont="1" applyFill="1" applyBorder="1" applyAlignment="1">
      <alignment horizontal="left"/>
    </xf>
    <xf numFmtId="0" fontId="14" fillId="7" borderId="19" xfId="0" applyFont="1" applyFill="1" applyBorder="1" applyAlignment="1">
      <alignment horizontal="left"/>
    </xf>
    <xf numFmtId="0" fontId="14" fillId="7" borderId="38" xfId="0" applyFont="1" applyFill="1" applyBorder="1" applyAlignment="1">
      <alignment horizontal="left"/>
    </xf>
    <xf numFmtId="0" fontId="14" fillId="7" borderId="0" xfId="0" applyFont="1" applyFill="1" applyAlignment="1">
      <alignment horizontal="left"/>
    </xf>
    <xf numFmtId="0" fontId="14" fillId="7" borderId="35" xfId="0" applyFont="1" applyFill="1" applyBorder="1" applyAlignment="1">
      <alignment horizontal="left"/>
    </xf>
    <xf numFmtId="0" fontId="52" fillId="0" borderId="45" xfId="16" applyFont="1" applyBorder="1" applyAlignment="1">
      <alignment horizontal="center"/>
    </xf>
    <xf numFmtId="0" fontId="52" fillId="0" borderId="18" xfId="16" applyFont="1" applyBorder="1" applyAlignment="1">
      <alignment horizontal="center"/>
    </xf>
    <xf numFmtId="0" fontId="52" fillId="0" borderId="33" xfId="16" applyFont="1" applyBorder="1" applyAlignment="1">
      <alignment horizontal="center"/>
    </xf>
    <xf numFmtId="0" fontId="54" fillId="0" borderId="30" xfId="16" applyFont="1" applyBorder="1" applyAlignment="1">
      <alignment horizontal="center"/>
    </xf>
    <xf numFmtId="0" fontId="54" fillId="0" borderId="34" xfId="16" applyFont="1" applyBorder="1" applyAlignment="1">
      <alignment horizontal="center"/>
    </xf>
    <xf numFmtId="0" fontId="53" fillId="0" borderId="3" xfId="16" applyFont="1" applyBorder="1" applyAlignment="1">
      <alignment horizontal="center"/>
    </xf>
    <xf numFmtId="0" fontId="53" fillId="0" borderId="4" xfId="16" applyFont="1" applyBorder="1" applyAlignment="1">
      <alignment horizontal="center"/>
    </xf>
    <xf numFmtId="0" fontId="53" fillId="0" borderId="46" xfId="16" applyFont="1" applyBorder="1" applyAlignment="1">
      <alignment horizontal="center"/>
    </xf>
    <xf numFmtId="0" fontId="68" fillId="0" borderId="39" xfId="16" applyFont="1" applyBorder="1" applyAlignment="1">
      <alignment horizontal="right"/>
    </xf>
    <xf numFmtId="0" fontId="68" fillId="0" borderId="1" xfId="16" applyFont="1" applyBorder="1" applyAlignment="1">
      <alignment horizontal="right"/>
    </xf>
    <xf numFmtId="0" fontId="68" fillId="0" borderId="43" xfId="16" applyFont="1" applyBorder="1" applyAlignment="1">
      <alignment horizontal="right"/>
    </xf>
    <xf numFmtId="0" fontId="52" fillId="0" borderId="37" xfId="16" applyFont="1" applyBorder="1" applyAlignment="1">
      <alignment horizontal="center"/>
    </xf>
    <xf numFmtId="0" fontId="52" fillId="0" borderId="16" xfId="16" applyFont="1" applyBorder="1" applyAlignment="1">
      <alignment horizontal="center"/>
    </xf>
    <xf numFmtId="0" fontId="52" fillId="0" borderId="39" xfId="16" applyFont="1" applyBorder="1" applyAlignment="1">
      <alignment horizontal="right"/>
    </xf>
    <xf numFmtId="0" fontId="52" fillId="0" borderId="1" xfId="16" applyFont="1" applyBorder="1" applyAlignment="1">
      <alignment horizontal="right"/>
    </xf>
    <xf numFmtId="0" fontId="52" fillId="0" borderId="43" xfId="16" applyFont="1" applyBorder="1" applyAlignment="1">
      <alignment horizontal="right"/>
    </xf>
    <xf numFmtId="0" fontId="63" fillId="0" borderId="0" xfId="16" applyFont="1" applyAlignment="1">
      <alignment horizontal="center"/>
    </xf>
    <xf numFmtId="0" fontId="58" fillId="0" borderId="0" xfId="16" applyFont="1" applyAlignment="1">
      <alignment horizontal="center"/>
    </xf>
    <xf numFmtId="0" fontId="58" fillId="0" borderId="5" xfId="16" applyFont="1" applyBorder="1" applyAlignment="1">
      <alignment horizontal="center"/>
    </xf>
    <xf numFmtId="0" fontId="58" fillId="0" borderId="1" xfId="16" applyFont="1" applyBorder="1" applyAlignment="1">
      <alignment horizontal="center"/>
    </xf>
    <xf numFmtId="0" fontId="58" fillId="0" borderId="43" xfId="16" applyFont="1" applyBorder="1" applyAlignment="1">
      <alignment horizontal="center"/>
    </xf>
    <xf numFmtId="0" fontId="57" fillId="0" borderId="41" xfId="16" applyFont="1" applyBorder="1" applyAlignment="1">
      <alignment horizontal="center"/>
    </xf>
    <xf numFmtId="0" fontId="57" fillId="0" borderId="9" xfId="16" applyFont="1" applyBorder="1" applyAlignment="1">
      <alignment horizontal="center"/>
    </xf>
    <xf numFmtId="0" fontId="56" fillId="8" borderId="20" xfId="16" applyFont="1" applyFill="1" applyBorder="1"/>
    <xf numFmtId="0" fontId="56" fillId="8" borderId="2" xfId="16" applyFont="1" applyFill="1" applyBorder="1"/>
    <xf numFmtId="0" fontId="56" fillId="8" borderId="9" xfId="16" applyFont="1" applyFill="1" applyBorder="1"/>
    <xf numFmtId="0" fontId="56" fillId="0" borderId="11" xfId="16" applyFont="1" applyBorder="1" applyAlignment="1">
      <alignment horizontal="center"/>
    </xf>
    <xf numFmtId="0" fontId="56" fillId="0" borderId="0" xfId="16" applyFont="1" applyAlignment="1">
      <alignment horizontal="center"/>
    </xf>
    <xf numFmtId="0" fontId="56" fillId="0" borderId="39" xfId="16" applyFont="1" applyBorder="1" applyAlignment="1">
      <alignment horizontal="center"/>
    </xf>
    <xf numFmtId="0" fontId="56" fillId="0" borderId="1" xfId="16" applyFont="1" applyBorder="1" applyAlignment="1">
      <alignment horizontal="center"/>
    </xf>
    <xf numFmtId="0" fontId="58" fillId="8" borderId="20" xfId="16" applyFont="1" applyFill="1" applyBorder="1"/>
    <xf numFmtId="0" fontId="58" fillId="8" borderId="2" xfId="16" applyFont="1" applyFill="1" applyBorder="1"/>
    <xf numFmtId="0" fontId="58" fillId="8" borderId="9" xfId="16" applyFont="1" applyFill="1" applyBorder="1"/>
    <xf numFmtId="0" fontId="60" fillId="8" borderId="20" xfId="16" applyFont="1" applyFill="1" applyBorder="1"/>
    <xf numFmtId="0" fontId="60" fillId="8" borderId="2" xfId="16" applyFont="1" applyFill="1" applyBorder="1"/>
    <xf numFmtId="0" fontId="60" fillId="8" borderId="9" xfId="16" applyFont="1" applyFill="1" applyBorder="1"/>
    <xf numFmtId="0" fontId="5" fillId="7" borderId="39" xfId="16" applyFont="1" applyFill="1" applyBorder="1" applyAlignment="1">
      <alignment horizontal="left"/>
    </xf>
    <xf numFmtId="0" fontId="5" fillId="7" borderId="1" xfId="16" applyFont="1" applyFill="1" applyBorder="1" applyAlignment="1">
      <alignment horizontal="left"/>
    </xf>
    <xf numFmtId="0" fontId="5" fillId="7" borderId="36" xfId="16" applyFont="1" applyFill="1" applyBorder="1" applyAlignment="1">
      <alignment horizontal="left"/>
    </xf>
    <xf numFmtId="0" fontId="10" fillId="0" borderId="20" xfId="16" applyFont="1" applyBorder="1" applyAlignment="1">
      <alignment horizontal="center"/>
    </xf>
    <xf numFmtId="0" fontId="10" fillId="0" borderId="9" xfId="16" applyFont="1" applyBorder="1" applyAlignment="1">
      <alignment horizontal="center"/>
    </xf>
    <xf numFmtId="167" fontId="1" fillId="0" borderId="20" xfId="16" applyNumberFormat="1" applyBorder="1" applyAlignment="1" applyProtection="1">
      <alignment horizontal="center"/>
      <protection locked="0"/>
    </xf>
    <xf numFmtId="167" fontId="1" fillId="0" borderId="9" xfId="16" applyNumberFormat="1" applyBorder="1" applyAlignment="1" applyProtection="1">
      <alignment horizontal="center"/>
      <protection locked="0"/>
    </xf>
    <xf numFmtId="12" fontId="69" fillId="0" borderId="0" xfId="16" applyNumberFormat="1" applyFont="1" applyAlignment="1" applyProtection="1">
      <alignment horizontal="center" vertical="top"/>
      <protection locked="0"/>
    </xf>
    <xf numFmtId="0" fontId="4" fillId="0" borderId="0" xfId="16" applyFont="1" applyAlignment="1">
      <alignment horizontal="center" textRotation="90"/>
    </xf>
    <xf numFmtId="0" fontId="4" fillId="0" borderId="1" xfId="16" applyFont="1" applyBorder="1" applyAlignment="1">
      <alignment horizontal="center" textRotation="90"/>
    </xf>
    <xf numFmtId="0" fontId="11" fillId="0" borderId="16" xfId="16" applyFont="1" applyBorder="1" applyAlignment="1">
      <alignment horizontal="right"/>
    </xf>
    <xf numFmtId="0" fontId="1" fillId="7" borderId="37" xfId="16" applyFill="1" applyBorder="1" applyAlignment="1">
      <alignment horizontal="left"/>
    </xf>
    <xf numFmtId="0" fontId="1" fillId="7" borderId="16" xfId="16" applyFill="1" applyBorder="1" applyAlignment="1">
      <alignment horizontal="left"/>
    </xf>
    <xf numFmtId="0" fontId="1" fillId="7" borderId="19" xfId="16" applyFill="1" applyBorder="1" applyAlignment="1">
      <alignment horizontal="left"/>
    </xf>
    <xf numFmtId="0" fontId="1" fillId="7" borderId="38" xfId="16" applyFill="1" applyBorder="1" applyAlignment="1">
      <alignment horizontal="left"/>
    </xf>
    <xf numFmtId="0" fontId="1" fillId="7" borderId="0" xfId="16" applyFill="1" applyAlignment="1">
      <alignment horizontal="left"/>
    </xf>
    <xf numFmtId="0" fontId="1" fillId="7" borderId="35" xfId="16" applyFill="1" applyBorder="1" applyAlignment="1">
      <alignment horizontal="left"/>
    </xf>
    <xf numFmtId="0" fontId="21" fillId="0" borderId="30" xfId="16" applyFont="1" applyBorder="1" applyAlignment="1">
      <alignment horizontal="center"/>
    </xf>
    <xf numFmtId="0" fontId="21" fillId="0" borderId="34" xfId="16" applyFont="1" applyBorder="1" applyAlignment="1">
      <alignment horizontal="center"/>
    </xf>
    <xf numFmtId="0" fontId="1" fillId="0" borderId="0" xfId="16" applyAlignment="1">
      <alignment horizontal="left"/>
    </xf>
    <xf numFmtId="0" fontId="10" fillId="0" borderId="32" xfId="16" applyFont="1" applyBorder="1" applyAlignment="1">
      <alignment horizontal="center"/>
    </xf>
    <xf numFmtId="0" fontId="10" fillId="0" borderId="33" xfId="16" applyFont="1" applyBorder="1" applyAlignment="1">
      <alignment horizontal="center"/>
    </xf>
    <xf numFmtId="0" fontId="71" fillId="0" borderId="0" xfId="16" applyFont="1" applyAlignment="1">
      <alignment horizontal="center"/>
    </xf>
    <xf numFmtId="0" fontId="1" fillId="0" borderId="1" xfId="16" applyBorder="1" applyAlignment="1">
      <alignment horizontal="left"/>
    </xf>
    <xf numFmtId="0" fontId="1" fillId="0" borderId="2" xfId="16" applyBorder="1" applyAlignment="1">
      <alignment horizontal="left"/>
    </xf>
    <xf numFmtId="0" fontId="1" fillId="0" borderId="16" xfId="16" applyBorder="1" applyAlignment="1">
      <alignment horizontal="left"/>
    </xf>
    <xf numFmtId="0" fontId="1" fillId="0" borderId="20" xfId="16" applyBorder="1" applyAlignment="1">
      <alignment horizontal="center"/>
    </xf>
    <xf numFmtId="0" fontId="1" fillId="0" borderId="9" xfId="16" applyBorder="1" applyAlignment="1">
      <alignment horizontal="center"/>
    </xf>
    <xf numFmtId="0" fontId="24" fillId="0" borderId="16" xfId="16" applyFont="1" applyBorder="1" applyAlignment="1">
      <alignment horizontal="center"/>
    </xf>
    <xf numFmtId="0" fontId="24" fillId="0" borderId="19" xfId="16" applyFont="1" applyBorder="1" applyAlignment="1">
      <alignment horizontal="center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24" fillId="0" borderId="16" xfId="16" quotePrefix="1" applyFont="1" applyBorder="1" applyAlignment="1">
      <alignment horizontal="center"/>
    </xf>
    <xf numFmtId="0" fontId="24" fillId="0" borderId="19" xfId="16" quotePrefix="1" applyFont="1" applyBorder="1" applyAlignment="1">
      <alignment horizontal="center"/>
    </xf>
  </cellXfs>
  <cellStyles count="19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2 2" xfId="5" xr:uid="{00000000-0005-0000-0000-000004000000}"/>
    <cellStyle name="Currency 2 3" xfId="15" xr:uid="{C0BFC8BC-2EB0-4D6C-9755-AD942BD6FCB4}"/>
    <cellStyle name="Currency 3" xfId="6" xr:uid="{00000000-0005-0000-0000-000005000000}"/>
    <cellStyle name="Currency_Rollershade" xfId="7" xr:uid="{00000000-0005-0000-0000-000006000000}"/>
    <cellStyle name="Hyperlink" xfId="8" builtinId="8"/>
    <cellStyle name="Hyperlink 2" xfId="17" xr:uid="{CE854852-85C1-42DE-B862-9D3DF5F0E104}"/>
    <cellStyle name="Hyperlink 3" xfId="18" xr:uid="{C1C70AE8-1BBC-49D4-A0DF-19E381AC9473}"/>
    <cellStyle name="Normal" xfId="0" builtinId="0"/>
    <cellStyle name="Normal 2" xfId="9" xr:uid="{00000000-0005-0000-0000-000009000000}"/>
    <cellStyle name="Normal 2 2" xfId="16" xr:uid="{971071FE-03C5-4CD2-81B5-A179EAA70587}"/>
    <cellStyle name="Normal 3" xfId="14" xr:uid="{FCB6CC49-D3AF-4B1A-A00F-11D01680B360}"/>
    <cellStyle name="Normal_Quote-Ron Luke" xfId="10" xr:uid="{00000000-0005-0000-0000-00000A000000}"/>
    <cellStyle name="Normal_Rollershade" xfId="11" xr:uid="{00000000-0005-0000-0000-00000B000000}"/>
    <cellStyle name="Percent" xfId="12" builtinId="5"/>
    <cellStyle name="Percent 2" xfId="13" xr:uid="{00000000-0005-0000-0000-00000D000000}"/>
  </cellStyles>
  <dxfs count="30"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AA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CheckBox" checked="Checked" fmlaLink="$AA$8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Worksheet!$O$9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fmlaLink="$O$12" lockText="1" noThreeD="1"/>
</file>

<file path=xl/ctrlProps/ctrlProp18.xml><?xml version="1.0" encoding="utf-8"?>
<formControlPr xmlns="http://schemas.microsoft.com/office/spreadsheetml/2009/9/main" objectType="CheckBox" fmlaLink="$O$12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checked="Checked" firstButton="1" fmlaLink="'Worksheet (2)'!$O$9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O$9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fmlaLink="$O$12" lockText="1" noThreeD="1"/>
</file>

<file path=xl/ctrlProps/ctrlProp7.xml><?xml version="1.0" encoding="utf-8"?>
<formControlPr xmlns="http://schemas.microsoft.com/office/spreadsheetml/2009/9/main" objectType="CheckBox" fmlaLink="$O$12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fmlaLink="Worksheet!$O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8</xdr:col>
      <xdr:colOff>75475</xdr:colOff>
      <xdr:row>6</xdr:row>
      <xdr:rowOff>8844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4828450" cy="9327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196102</xdr:colOff>
      <xdr:row>4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6</xdr:row>
          <xdr:rowOff>144780</xdr:rowOff>
        </xdr:from>
        <xdr:to>
          <xdr:col>26</xdr:col>
          <xdr:colOff>1059180</xdr:colOff>
          <xdr:row>8</xdr:row>
          <xdr:rowOff>22860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2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15</xdr:col>
          <xdr:colOff>228600</xdr:colOff>
          <xdr:row>10</xdr:row>
          <xdr:rowOff>160020</xdr:rowOff>
        </xdr:to>
        <xdr:sp macro="" textlink="">
          <xdr:nvSpPr>
            <xdr:cNvPr id="55298" name="Group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2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144780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2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15</xdr:col>
          <xdr:colOff>152400</xdr:colOff>
          <xdr:row>9</xdr:row>
          <xdr:rowOff>68580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2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15</xdr:col>
          <xdr:colOff>45720</xdr:colOff>
          <xdr:row>12</xdr:row>
          <xdr:rowOff>76200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2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15</xdr:col>
          <xdr:colOff>45720</xdr:colOff>
          <xdr:row>12</xdr:row>
          <xdr:rowOff>76200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2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7</xdr:col>
      <xdr:colOff>563655</xdr:colOff>
      <xdr:row>3</xdr:row>
      <xdr:rowOff>22225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947987"/>
          <a:ext cx="2350592" cy="50944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7778412"/>
          <a:ext cx="2341067" cy="4999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15</xdr:col>
          <xdr:colOff>152400</xdr:colOff>
          <xdr:row>10</xdr:row>
          <xdr:rowOff>160020</xdr:rowOff>
        </xdr:to>
        <xdr:sp macro="" textlink="">
          <xdr:nvSpPr>
            <xdr:cNvPr id="61441" name="Group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4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4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144780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4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15</xdr:col>
          <xdr:colOff>76200</xdr:colOff>
          <xdr:row>9</xdr:row>
          <xdr:rowOff>68580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4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196102</xdr:colOff>
      <xdr:row>4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6</xdr:row>
          <xdr:rowOff>144780</xdr:rowOff>
        </xdr:from>
        <xdr:to>
          <xdr:col>26</xdr:col>
          <xdr:colOff>1059180</xdr:colOff>
          <xdr:row>8</xdr:row>
          <xdr:rowOff>22860</xdr:rowOff>
        </xdr:to>
        <xdr:sp macro="" textlink="">
          <xdr:nvSpPr>
            <xdr:cNvPr id="75777" name="Check Box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07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14</xdr:col>
          <xdr:colOff>220980</xdr:colOff>
          <xdr:row>10</xdr:row>
          <xdr:rowOff>160020</xdr:rowOff>
        </xdr:to>
        <xdr:sp macro="" textlink="">
          <xdr:nvSpPr>
            <xdr:cNvPr id="75778" name="Group Box 2" hidden="1">
              <a:extLst>
                <a:ext uri="{63B3BB69-23CF-44E3-9099-C40C66FF867C}">
                  <a14:compatExt spid="_x0000_s75778"/>
                </a:ext>
                <a:ext uri="{FF2B5EF4-FFF2-40B4-BE49-F238E27FC236}">
                  <a16:creationId xmlns:a16="http://schemas.microsoft.com/office/drawing/2014/main" id="{00000000-0008-0000-0700-000002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75779" name="Option Button 3" hidden="1">
              <a:extLst>
                <a:ext uri="{63B3BB69-23CF-44E3-9099-C40C66FF867C}">
                  <a14:compatExt spid="_x0000_s75779"/>
                </a:ext>
                <a:ext uri="{FF2B5EF4-FFF2-40B4-BE49-F238E27FC236}">
                  <a16:creationId xmlns:a16="http://schemas.microsoft.com/office/drawing/2014/main" id="{00000000-0008-0000-0700-000003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152400</xdr:rowOff>
        </xdr:to>
        <xdr:sp macro="" textlink="">
          <xdr:nvSpPr>
            <xdr:cNvPr id="75780" name="Option Button 4" hidden="1">
              <a:extLst>
                <a:ext uri="{63B3BB69-23CF-44E3-9099-C40C66FF867C}">
                  <a14:compatExt spid="_x0000_s75780"/>
                </a:ext>
                <a:ext uri="{FF2B5EF4-FFF2-40B4-BE49-F238E27FC236}">
                  <a16:creationId xmlns:a16="http://schemas.microsoft.com/office/drawing/2014/main" id="{00000000-0008-0000-0700-00000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14</xdr:col>
          <xdr:colOff>152400</xdr:colOff>
          <xdr:row>9</xdr:row>
          <xdr:rowOff>68580</xdr:rowOff>
        </xdr:to>
        <xdr:sp macro="" textlink="">
          <xdr:nvSpPr>
            <xdr:cNvPr id="75781" name="Option Button 5" hidden="1">
              <a:extLst>
                <a:ext uri="{63B3BB69-23CF-44E3-9099-C40C66FF867C}">
                  <a14:compatExt spid="_x0000_s75781"/>
                </a:ext>
                <a:ext uri="{FF2B5EF4-FFF2-40B4-BE49-F238E27FC236}">
                  <a16:creationId xmlns:a16="http://schemas.microsoft.com/office/drawing/2014/main" id="{00000000-0008-0000-0700-00000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75782" name="Check Box 6" hidden="1">
              <a:extLst>
                <a:ext uri="{63B3BB69-23CF-44E3-9099-C40C66FF867C}">
                  <a14:compatExt spid="_x0000_s75782"/>
                </a:ext>
                <a:ext uri="{FF2B5EF4-FFF2-40B4-BE49-F238E27FC236}">
                  <a16:creationId xmlns:a16="http://schemas.microsoft.com/office/drawing/2014/main" id="{00000000-0008-0000-0700-000006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75783" name="Check Box 7" hidden="1">
              <a:extLst>
                <a:ext uri="{63B3BB69-23CF-44E3-9099-C40C66FF867C}">
                  <a14:compatExt spid="_x0000_s75783"/>
                </a:ext>
                <a:ext uri="{FF2B5EF4-FFF2-40B4-BE49-F238E27FC236}">
                  <a16:creationId xmlns:a16="http://schemas.microsoft.com/office/drawing/2014/main" id="{00000000-0008-0000-0700-000007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43391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938462"/>
          <a:ext cx="2354402" cy="51706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8588037"/>
          <a:ext cx="2341067" cy="49991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15</xdr:col>
          <xdr:colOff>152400</xdr:colOff>
          <xdr:row>10</xdr:row>
          <xdr:rowOff>160020</xdr:rowOff>
        </xdr:to>
        <xdr:sp macro="" textlink="">
          <xdr:nvSpPr>
            <xdr:cNvPr id="77825" name="Group Box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09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77826" name="Option Button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9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144780</xdr:rowOff>
        </xdr:to>
        <xdr:sp macro="" textlink="">
          <xdr:nvSpPr>
            <xdr:cNvPr id="77827" name="Option Button 3" hidden="1">
              <a:extLst>
                <a:ext uri="{63B3BB69-23CF-44E3-9099-C40C66FF867C}">
                  <a14:compatExt spid="_x0000_s77827"/>
                </a:ext>
                <a:ext uri="{FF2B5EF4-FFF2-40B4-BE49-F238E27FC236}">
                  <a16:creationId xmlns:a16="http://schemas.microsoft.com/office/drawing/2014/main" id="{00000000-0008-0000-0900-00000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15</xdr:col>
          <xdr:colOff>76200</xdr:colOff>
          <xdr:row>9</xdr:row>
          <xdr:rowOff>68580</xdr:rowOff>
        </xdr:to>
        <xdr:sp macro="" textlink="">
          <xdr:nvSpPr>
            <xdr:cNvPr id="77828" name="Option Button 4" hidden="1">
              <a:extLst>
                <a:ext uri="{63B3BB69-23CF-44E3-9099-C40C66FF867C}">
                  <a14:compatExt spid="_x0000_s77828"/>
                </a:ext>
                <a:ext uri="{FF2B5EF4-FFF2-40B4-BE49-F238E27FC236}">
                  <a16:creationId xmlns:a16="http://schemas.microsoft.com/office/drawing/2014/main" id="{00000000-0008-0000-0900-00000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Quotations\OPEN%20BUILDER%20&amp;%20%20MISC.%20BIDS\Jobs%20bid%202020\Open%20Edge%20TI\Level%205%20Manuals%20Rms%20500-5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erver\FM%20Groups\Utah%20FM%20Groups\Bountiful%20FM%20Group\Bldg%20%2311%20Stage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Quotations\OPEN%20BUILDER%20&amp;%20%20MISC.%20BIDS\Jobs%20Bid%202015\WSU%20Athletic%20Cent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FORMS\01%20%20Costsheets\Roller%20shade%20Worksheets\Copy%204%20MANUAL%20MASTER%20Roller%20Shades%20Costshe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erver\FORMS\01%20%20Costsheets\Roller%20shade%20Worksheets\Copy%204%20MANUAL%20MASTER%20Roller%20Shades%20Cost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2">
          <cell r="Y2">
            <v>29326</v>
          </cell>
        </row>
        <row r="4">
          <cell r="Y4">
            <v>0.01</v>
          </cell>
        </row>
        <row r="5">
          <cell r="C5" t="str">
            <v>Global Payments Inc.</v>
          </cell>
          <cell r="Y5">
            <v>13</v>
          </cell>
        </row>
        <row r="6">
          <cell r="Y6">
            <v>8</v>
          </cell>
        </row>
        <row r="7">
          <cell r="Y7">
            <v>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"/>
      <sheetName val="Stage worksheet"/>
      <sheetName val="page 2"/>
    </sheetNames>
    <sheetDataSet>
      <sheetData sheetId="0"/>
      <sheetData sheetId="1">
        <row r="4">
          <cell r="T4">
            <v>12</v>
          </cell>
        </row>
        <row r="5">
          <cell r="T5">
            <v>15</v>
          </cell>
        </row>
        <row r="6">
          <cell r="T6">
            <v>38</v>
          </cell>
        </row>
        <row r="7">
          <cell r="T7">
            <v>17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Tickets"/>
      <sheetName val="Tube Cut"/>
      <sheetName val="Worksheet 2"/>
      <sheetName val="Tickets 2"/>
      <sheetName val="Tube Cut 2"/>
      <sheetName val="Factor list"/>
      <sheetName val="General_Bid"/>
    </sheetNames>
    <sheetDataSet>
      <sheetData sheetId="0">
        <row r="4">
          <cell r="Y4">
            <v>8.9999999999999993E-3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il@coltoninc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582A-B137-47B6-8D66-FA7C224DDB78}">
  <sheetPr codeName="Sheet6"/>
  <dimension ref="A2:CN92"/>
  <sheetViews>
    <sheetView topLeftCell="A18" workbookViewId="0">
      <selection activeCell="B41" sqref="B41"/>
    </sheetView>
  </sheetViews>
  <sheetFormatPr defaultRowHeight="13.2" x14ac:dyDescent="0.25"/>
  <cols>
    <col min="1" max="1" width="17" customWidth="1"/>
    <col min="2" max="2" width="10.109375" customWidth="1"/>
    <col min="3" max="3" width="9.44140625" customWidth="1"/>
    <col min="8" max="8" width="12.44140625" customWidth="1"/>
    <col min="9" max="9" width="12.6640625" customWidth="1"/>
    <col min="11" max="11" width="10" customWidth="1"/>
    <col min="13" max="13" width="11.33203125" customWidth="1"/>
    <col min="15" max="15" width="9.88671875" customWidth="1"/>
    <col min="19" max="19" width="10.109375" customWidth="1"/>
  </cols>
  <sheetData>
    <row r="2" spans="1:91" s="8" customFormat="1" ht="15.75" customHeight="1" x14ac:dyDescent="0.25">
      <c r="A2" s="115" t="s">
        <v>251</v>
      </c>
      <c r="B2" s="118">
        <v>1</v>
      </c>
      <c r="C2" s="118">
        <v>2</v>
      </c>
      <c r="D2" s="118">
        <v>3</v>
      </c>
      <c r="E2" s="118">
        <v>4</v>
      </c>
      <c r="F2" s="118">
        <v>5</v>
      </c>
      <c r="G2" s="118">
        <v>6</v>
      </c>
      <c r="H2" s="118">
        <v>7</v>
      </c>
      <c r="I2" s="118">
        <v>8</v>
      </c>
      <c r="J2" s="118">
        <v>9</v>
      </c>
      <c r="K2" s="118">
        <v>10</v>
      </c>
      <c r="L2" s="118">
        <v>11</v>
      </c>
      <c r="M2" s="118">
        <v>12</v>
      </c>
      <c r="N2" s="118">
        <v>13</v>
      </c>
      <c r="O2" s="118">
        <v>14</v>
      </c>
      <c r="P2" s="118">
        <v>15</v>
      </c>
      <c r="Q2" s="118">
        <v>16</v>
      </c>
      <c r="R2" s="118">
        <v>17</v>
      </c>
      <c r="S2" s="118">
        <v>18</v>
      </c>
      <c r="T2" s="118">
        <v>19</v>
      </c>
      <c r="U2" s="118">
        <v>20</v>
      </c>
      <c r="V2" s="118">
        <v>21</v>
      </c>
      <c r="W2" s="118">
        <v>22</v>
      </c>
      <c r="X2" s="118">
        <v>23</v>
      </c>
      <c r="Y2" s="118">
        <v>24</v>
      </c>
      <c r="Z2" s="118">
        <v>25</v>
      </c>
      <c r="AA2" s="118">
        <v>26</v>
      </c>
      <c r="AB2" s="118">
        <v>27</v>
      </c>
      <c r="AC2" s="118">
        <v>28</v>
      </c>
      <c r="AD2" s="118">
        <v>29</v>
      </c>
      <c r="AE2" s="118">
        <v>30</v>
      </c>
      <c r="AF2" s="118">
        <v>31</v>
      </c>
      <c r="AG2" s="118">
        <v>32</v>
      </c>
      <c r="AH2" s="118">
        <v>33</v>
      </c>
      <c r="AI2" s="118">
        <v>34</v>
      </c>
      <c r="AJ2" s="118">
        <v>35</v>
      </c>
      <c r="AK2" s="118">
        <v>36</v>
      </c>
      <c r="AL2" s="118">
        <v>37</v>
      </c>
      <c r="AM2" s="118">
        <v>38</v>
      </c>
      <c r="AN2" s="118">
        <v>39</v>
      </c>
      <c r="AO2" s="118">
        <v>40</v>
      </c>
      <c r="AP2" s="118">
        <v>41</v>
      </c>
      <c r="AQ2" s="118">
        <v>42</v>
      </c>
      <c r="AR2" s="118">
        <v>43</v>
      </c>
      <c r="AS2" s="118">
        <v>44</v>
      </c>
      <c r="AT2" s="118">
        <v>45</v>
      </c>
      <c r="AU2" s="118">
        <v>46</v>
      </c>
      <c r="AV2" s="118">
        <v>47</v>
      </c>
      <c r="AW2" s="118">
        <v>48</v>
      </c>
      <c r="AX2" s="118">
        <v>49</v>
      </c>
      <c r="AY2" s="118">
        <v>50</v>
      </c>
      <c r="AZ2" s="118">
        <v>51</v>
      </c>
      <c r="BA2" s="118">
        <v>52</v>
      </c>
      <c r="BB2" s="118">
        <v>53</v>
      </c>
      <c r="BC2" s="118">
        <v>54</v>
      </c>
      <c r="BD2" s="118">
        <v>55</v>
      </c>
      <c r="BE2" s="118">
        <v>56</v>
      </c>
      <c r="BF2" s="118">
        <v>57</v>
      </c>
      <c r="BG2" s="118">
        <v>58</v>
      </c>
      <c r="BH2" s="118">
        <v>59</v>
      </c>
      <c r="BI2" s="118">
        <v>60</v>
      </c>
      <c r="BJ2" s="118">
        <v>61</v>
      </c>
      <c r="BK2" s="118">
        <v>62</v>
      </c>
      <c r="BL2" s="118">
        <v>63</v>
      </c>
      <c r="BM2" s="118">
        <v>64</v>
      </c>
      <c r="BN2" s="118">
        <v>65</v>
      </c>
      <c r="BO2" s="118">
        <v>66</v>
      </c>
      <c r="BP2" s="118">
        <v>67</v>
      </c>
      <c r="BQ2" s="118">
        <v>68</v>
      </c>
      <c r="BR2" s="118">
        <v>69</v>
      </c>
      <c r="BS2" s="118">
        <v>70</v>
      </c>
      <c r="BT2" s="118">
        <v>71</v>
      </c>
      <c r="BU2" s="118">
        <v>72</v>
      </c>
      <c r="BV2" s="118">
        <v>73</v>
      </c>
      <c r="BW2" s="118">
        <v>74</v>
      </c>
      <c r="BX2" s="118">
        <v>75</v>
      </c>
      <c r="BY2" s="118">
        <v>76</v>
      </c>
      <c r="BZ2" s="118">
        <v>77</v>
      </c>
      <c r="CA2" s="118">
        <v>78</v>
      </c>
      <c r="CB2" s="118">
        <v>79</v>
      </c>
      <c r="CC2" s="118">
        <v>80</v>
      </c>
      <c r="CD2" s="118">
        <v>81</v>
      </c>
      <c r="CE2" s="118">
        <v>82</v>
      </c>
      <c r="CF2" s="118">
        <v>83</v>
      </c>
      <c r="CG2" s="118">
        <v>84</v>
      </c>
      <c r="CH2" s="118">
        <v>85</v>
      </c>
      <c r="CI2" s="118">
        <v>86</v>
      </c>
      <c r="CJ2" s="118">
        <v>87</v>
      </c>
      <c r="CK2" s="118">
        <v>88</v>
      </c>
      <c r="CL2" s="118">
        <v>89</v>
      </c>
      <c r="CM2" s="118">
        <v>90</v>
      </c>
    </row>
    <row r="3" spans="1:91" x14ac:dyDescent="0.25">
      <c r="A3" s="114" t="s">
        <v>252</v>
      </c>
      <c r="B3" s="117" t="s">
        <v>247</v>
      </c>
      <c r="C3" s="117" t="s">
        <v>253</v>
      </c>
      <c r="D3" s="117" t="s">
        <v>278</v>
      </c>
      <c r="E3" s="117" t="s">
        <v>303</v>
      </c>
      <c r="F3" s="117" t="s">
        <v>328</v>
      </c>
      <c r="G3" s="117" t="s">
        <v>353</v>
      </c>
      <c r="H3" s="117" t="s">
        <v>378</v>
      </c>
      <c r="I3" s="117" t="s">
        <v>403</v>
      </c>
      <c r="J3" s="117" t="s">
        <v>404</v>
      </c>
      <c r="K3" s="117" t="s">
        <v>405</v>
      </c>
      <c r="L3" s="117" t="s">
        <v>406</v>
      </c>
      <c r="M3" s="117" t="s">
        <v>407</v>
      </c>
      <c r="N3" s="117" t="s">
        <v>408</v>
      </c>
      <c r="O3" s="117" t="s">
        <v>409</v>
      </c>
      <c r="P3" s="117" t="s">
        <v>410</v>
      </c>
      <c r="Q3" s="117" t="s">
        <v>411</v>
      </c>
      <c r="R3" s="117" t="s">
        <v>412</v>
      </c>
      <c r="S3" s="117" t="s">
        <v>413</v>
      </c>
      <c r="T3" s="117" t="s">
        <v>414</v>
      </c>
      <c r="U3" s="117" t="s">
        <v>415</v>
      </c>
      <c r="V3" s="117" t="s">
        <v>416</v>
      </c>
      <c r="W3" s="117" t="s">
        <v>417</v>
      </c>
      <c r="X3" s="117" t="s">
        <v>418</v>
      </c>
      <c r="Y3" s="117" t="s">
        <v>419</v>
      </c>
      <c r="Z3" s="117" t="s">
        <v>420</v>
      </c>
      <c r="AA3" s="117" t="s">
        <v>421</v>
      </c>
      <c r="AB3" s="117" t="s">
        <v>422</v>
      </c>
      <c r="AC3" s="117" t="s">
        <v>423</v>
      </c>
      <c r="AD3" s="117" t="s">
        <v>424</v>
      </c>
      <c r="AE3" s="117" t="s">
        <v>425</v>
      </c>
      <c r="AF3" s="117" t="s">
        <v>978</v>
      </c>
      <c r="AG3" s="117" t="s">
        <v>979</v>
      </c>
      <c r="AH3" s="117" t="s">
        <v>980</v>
      </c>
      <c r="AI3" s="117" t="s">
        <v>981</v>
      </c>
      <c r="AJ3" s="117" t="s">
        <v>982</v>
      </c>
      <c r="AK3" s="117" t="s">
        <v>983</v>
      </c>
      <c r="AL3" s="117" t="s">
        <v>984</v>
      </c>
      <c r="AM3" s="117" t="s">
        <v>985</v>
      </c>
      <c r="AN3" s="117" t="s">
        <v>986</v>
      </c>
      <c r="AO3" s="117" t="s">
        <v>987</v>
      </c>
      <c r="AP3" s="117" t="s">
        <v>988</v>
      </c>
      <c r="AQ3" s="117" t="s">
        <v>989</v>
      </c>
      <c r="AR3" s="117" t="s">
        <v>990</v>
      </c>
      <c r="AS3" s="117" t="s">
        <v>991</v>
      </c>
      <c r="AT3" s="117" t="s">
        <v>992</v>
      </c>
      <c r="AU3" s="117" t="s">
        <v>993</v>
      </c>
      <c r="AV3" s="117" t="s">
        <v>994</v>
      </c>
      <c r="AW3" s="117" t="s">
        <v>995</v>
      </c>
      <c r="AX3" s="117" t="s">
        <v>996</v>
      </c>
      <c r="AY3" s="117" t="s">
        <v>997</v>
      </c>
      <c r="AZ3" s="117" t="s">
        <v>998</v>
      </c>
      <c r="BA3" s="117" t="s">
        <v>999</v>
      </c>
      <c r="BB3" s="117" t="s">
        <v>1000</v>
      </c>
      <c r="BC3" s="117" t="s">
        <v>1001</v>
      </c>
      <c r="BD3" s="117" t="s">
        <v>1002</v>
      </c>
      <c r="BE3" s="117" t="s">
        <v>1003</v>
      </c>
      <c r="BF3" s="117" t="s">
        <v>1004</v>
      </c>
      <c r="BG3" s="117" t="s">
        <v>1005</v>
      </c>
      <c r="BH3" s="117" t="s">
        <v>1006</v>
      </c>
      <c r="BI3" s="117" t="s">
        <v>1007</v>
      </c>
      <c r="BJ3" s="117" t="s">
        <v>1008</v>
      </c>
      <c r="BK3" s="117" t="s">
        <v>1009</v>
      </c>
      <c r="BL3" s="117" t="s">
        <v>1010</v>
      </c>
      <c r="BM3" s="117" t="s">
        <v>1011</v>
      </c>
      <c r="BN3" s="117" t="s">
        <v>1012</v>
      </c>
      <c r="BO3" s="117" t="s">
        <v>1013</v>
      </c>
      <c r="BP3" s="117" t="s">
        <v>1014</v>
      </c>
      <c r="BQ3" s="117" t="s">
        <v>1015</v>
      </c>
      <c r="BR3" s="117" t="s">
        <v>1016</v>
      </c>
      <c r="BS3" s="117" t="s">
        <v>1017</v>
      </c>
      <c r="BT3" s="117" t="s">
        <v>1018</v>
      </c>
      <c r="BU3" s="117" t="s">
        <v>1019</v>
      </c>
      <c r="BV3" s="117" t="s">
        <v>1020</v>
      </c>
      <c r="BW3" s="117" t="s">
        <v>1021</v>
      </c>
      <c r="BX3" s="117" t="s">
        <v>1022</v>
      </c>
      <c r="BY3" s="117" t="s">
        <v>1023</v>
      </c>
      <c r="BZ3" s="117" t="s">
        <v>1024</v>
      </c>
      <c r="CA3" s="117" t="s">
        <v>1025</v>
      </c>
      <c r="CB3" s="117" t="s">
        <v>1026</v>
      </c>
      <c r="CC3" s="117" t="s">
        <v>1027</v>
      </c>
      <c r="CD3" s="117" t="s">
        <v>1028</v>
      </c>
      <c r="CE3" s="117" t="s">
        <v>1029</v>
      </c>
      <c r="CF3" s="117" t="s">
        <v>1030</v>
      </c>
      <c r="CG3" s="117" t="s">
        <v>1031</v>
      </c>
      <c r="CH3" s="117" t="s">
        <v>1032</v>
      </c>
      <c r="CI3" s="117" t="s">
        <v>1033</v>
      </c>
      <c r="CJ3" s="117" t="s">
        <v>1034</v>
      </c>
      <c r="CK3" s="117" t="s">
        <v>1035</v>
      </c>
      <c r="CL3" s="117" t="s">
        <v>1036</v>
      </c>
      <c r="CM3" s="117" t="s">
        <v>1037</v>
      </c>
    </row>
    <row r="4" spans="1:91" x14ac:dyDescent="0.25">
      <c r="A4" s="119"/>
      <c r="B4" s="117" t="s">
        <v>246</v>
      </c>
      <c r="C4" s="117" t="s">
        <v>254</v>
      </c>
      <c r="D4" s="117" t="s">
        <v>279</v>
      </c>
      <c r="E4" s="117" t="s">
        <v>304</v>
      </c>
      <c r="F4" s="117" t="s">
        <v>329</v>
      </c>
      <c r="G4" s="117" t="s">
        <v>354</v>
      </c>
      <c r="H4" s="117" t="s">
        <v>379</v>
      </c>
      <c r="I4" s="117" t="s">
        <v>426</v>
      </c>
      <c r="J4" s="117" t="s">
        <v>427</v>
      </c>
      <c r="K4" s="117" t="s">
        <v>428</v>
      </c>
      <c r="L4" s="117" t="s">
        <v>429</v>
      </c>
      <c r="M4" s="117" t="s">
        <v>430</v>
      </c>
      <c r="N4" s="117" t="s">
        <v>431</v>
      </c>
      <c r="O4" s="117" t="s">
        <v>432</v>
      </c>
      <c r="P4" s="117" t="s">
        <v>433</v>
      </c>
      <c r="Q4" s="117" t="s">
        <v>434</v>
      </c>
      <c r="R4" s="117" t="s">
        <v>435</v>
      </c>
      <c r="S4" s="117" t="s">
        <v>436</v>
      </c>
      <c r="T4" s="117" t="s">
        <v>437</v>
      </c>
      <c r="U4" s="117" t="s">
        <v>438</v>
      </c>
      <c r="V4" s="117" t="s">
        <v>439</v>
      </c>
      <c r="W4" s="117" t="s">
        <v>440</v>
      </c>
      <c r="X4" s="117" t="s">
        <v>441</v>
      </c>
      <c r="Y4" s="117" t="s">
        <v>442</v>
      </c>
      <c r="Z4" s="117" t="s">
        <v>443</v>
      </c>
      <c r="AA4" s="117" t="s">
        <v>444</v>
      </c>
      <c r="AB4" s="117" t="s">
        <v>445</v>
      </c>
      <c r="AC4" s="117" t="s">
        <v>446</v>
      </c>
      <c r="AD4" s="117" t="s">
        <v>447</v>
      </c>
      <c r="AE4" s="117" t="s">
        <v>448</v>
      </c>
      <c r="AF4" s="117" t="s">
        <v>1038</v>
      </c>
      <c r="AG4" s="117" t="s">
        <v>1039</v>
      </c>
      <c r="AH4" s="117" t="s">
        <v>1040</v>
      </c>
      <c r="AI4" s="117" t="s">
        <v>1110</v>
      </c>
      <c r="AJ4" s="117" t="s">
        <v>1111</v>
      </c>
      <c r="AK4" s="117" t="s">
        <v>1112</v>
      </c>
      <c r="AL4" s="117" t="s">
        <v>1113</v>
      </c>
      <c r="AM4" s="117" t="s">
        <v>1114</v>
      </c>
      <c r="AN4" s="117" t="s">
        <v>1115</v>
      </c>
      <c r="AO4" s="117" t="s">
        <v>1116</v>
      </c>
      <c r="AP4" s="117" t="s">
        <v>1117</v>
      </c>
      <c r="AQ4" s="117" t="s">
        <v>1118</v>
      </c>
      <c r="AR4" s="117" t="s">
        <v>1119</v>
      </c>
      <c r="AS4" s="117" t="s">
        <v>1120</v>
      </c>
      <c r="AT4" s="117" t="s">
        <v>1121</v>
      </c>
      <c r="AU4" s="117" t="s">
        <v>1122</v>
      </c>
      <c r="AV4" s="117" t="s">
        <v>1123</v>
      </c>
      <c r="AW4" s="117" t="s">
        <v>1124</v>
      </c>
      <c r="AX4" s="117" t="s">
        <v>1125</v>
      </c>
      <c r="AY4" s="117" t="s">
        <v>1126</v>
      </c>
      <c r="AZ4" s="117" t="s">
        <v>1127</v>
      </c>
      <c r="BA4" s="117" t="s">
        <v>1128</v>
      </c>
      <c r="BB4" s="117" t="s">
        <v>1129</v>
      </c>
      <c r="BC4" s="117" t="s">
        <v>1130</v>
      </c>
      <c r="BD4" s="117" t="s">
        <v>1131</v>
      </c>
      <c r="BE4" s="117" t="s">
        <v>1132</v>
      </c>
      <c r="BF4" s="117" t="s">
        <v>1133</v>
      </c>
      <c r="BG4" s="117" t="s">
        <v>1134</v>
      </c>
      <c r="BH4" s="117" t="s">
        <v>1135</v>
      </c>
      <c r="BI4" s="117" t="s">
        <v>1136</v>
      </c>
      <c r="BJ4" s="117" t="s">
        <v>1137</v>
      </c>
      <c r="BK4" s="117" t="s">
        <v>1138</v>
      </c>
      <c r="BL4" s="117" t="s">
        <v>1139</v>
      </c>
      <c r="BM4" s="117" t="s">
        <v>1140</v>
      </c>
      <c r="BN4" s="117" t="s">
        <v>1141</v>
      </c>
      <c r="BO4" s="117" t="s">
        <v>1142</v>
      </c>
      <c r="BP4" s="117" t="s">
        <v>1143</v>
      </c>
      <c r="BQ4" s="117" t="s">
        <v>1926</v>
      </c>
      <c r="BR4" s="117" t="s">
        <v>1927</v>
      </c>
      <c r="BS4" s="117" t="s">
        <v>1928</v>
      </c>
      <c r="BT4" s="117" t="s">
        <v>1929</v>
      </c>
      <c r="BU4" s="117" t="s">
        <v>1930</v>
      </c>
      <c r="BV4" s="117" t="s">
        <v>1931</v>
      </c>
      <c r="BW4" s="117" t="s">
        <v>1932</v>
      </c>
      <c r="BX4" s="117" t="s">
        <v>1933</v>
      </c>
      <c r="BY4" s="117" t="s">
        <v>1934</v>
      </c>
      <c r="BZ4" s="117" t="s">
        <v>1935</v>
      </c>
      <c r="CA4" s="117" t="s">
        <v>1936</v>
      </c>
      <c r="CB4" s="117" t="s">
        <v>1937</v>
      </c>
      <c r="CC4" s="117" t="s">
        <v>1938</v>
      </c>
      <c r="CD4" s="117" t="s">
        <v>1939</v>
      </c>
      <c r="CE4" s="117" t="s">
        <v>1940</v>
      </c>
      <c r="CF4" s="117" t="s">
        <v>1941</v>
      </c>
      <c r="CG4" s="117" t="s">
        <v>1942</v>
      </c>
      <c r="CH4" s="117" t="s">
        <v>1943</v>
      </c>
      <c r="CI4" s="117" t="s">
        <v>1944</v>
      </c>
      <c r="CJ4" s="117" t="s">
        <v>1945</v>
      </c>
      <c r="CK4" s="117" t="s">
        <v>1946</v>
      </c>
      <c r="CL4" s="117" t="s">
        <v>1947</v>
      </c>
      <c r="CM4" s="117" t="s">
        <v>1948</v>
      </c>
    </row>
    <row r="5" spans="1:91" x14ac:dyDescent="0.25">
      <c r="A5" s="119"/>
      <c r="B5" s="117" t="s">
        <v>245</v>
      </c>
      <c r="C5" s="117" t="s">
        <v>255</v>
      </c>
      <c r="D5" s="117" t="s">
        <v>280</v>
      </c>
      <c r="E5" s="117" t="s">
        <v>305</v>
      </c>
      <c r="F5" s="117" t="s">
        <v>330</v>
      </c>
      <c r="G5" s="117" t="s">
        <v>355</v>
      </c>
      <c r="H5" s="117" t="s">
        <v>380</v>
      </c>
      <c r="I5" s="117" t="s">
        <v>449</v>
      </c>
      <c r="J5" s="117" t="s">
        <v>450</v>
      </c>
      <c r="K5" s="117" t="s">
        <v>451</v>
      </c>
      <c r="L5" s="117" t="s">
        <v>452</v>
      </c>
      <c r="M5" s="117" t="s">
        <v>453</v>
      </c>
      <c r="N5" s="117" t="s">
        <v>454</v>
      </c>
      <c r="O5" s="117" t="s">
        <v>455</v>
      </c>
      <c r="P5" s="117" t="s">
        <v>456</v>
      </c>
      <c r="Q5" s="117" t="s">
        <v>457</v>
      </c>
      <c r="R5" s="117" t="s">
        <v>458</v>
      </c>
      <c r="S5" s="117" t="s">
        <v>459</v>
      </c>
      <c r="T5" s="117" t="s">
        <v>460</v>
      </c>
      <c r="U5" s="117" t="s">
        <v>461</v>
      </c>
      <c r="V5" s="117" t="s">
        <v>462</v>
      </c>
      <c r="W5" s="117" t="s">
        <v>463</v>
      </c>
      <c r="X5" s="117" t="s">
        <v>464</v>
      </c>
      <c r="Y5" s="117" t="s">
        <v>465</v>
      </c>
      <c r="Z5" s="117" t="s">
        <v>466</v>
      </c>
      <c r="AA5" s="117" t="s">
        <v>467</v>
      </c>
      <c r="AB5" s="117" t="s">
        <v>468</v>
      </c>
      <c r="AC5" s="117" t="s">
        <v>469</v>
      </c>
      <c r="AD5" s="117" t="s">
        <v>470</v>
      </c>
      <c r="AE5" s="117" t="s">
        <v>471</v>
      </c>
      <c r="AF5" s="117" t="s">
        <v>1041</v>
      </c>
      <c r="AG5" s="117" t="s">
        <v>1042</v>
      </c>
      <c r="AH5" s="117" t="s">
        <v>1043</v>
      </c>
      <c r="AI5" s="117" t="s">
        <v>1144</v>
      </c>
      <c r="AJ5" s="117" t="s">
        <v>1145</v>
      </c>
      <c r="AK5" s="117" t="s">
        <v>1146</v>
      </c>
      <c r="AL5" s="117" t="s">
        <v>1147</v>
      </c>
      <c r="AM5" s="117" t="s">
        <v>1148</v>
      </c>
      <c r="AN5" s="117" t="s">
        <v>1149</v>
      </c>
      <c r="AO5" s="117" t="s">
        <v>1150</v>
      </c>
      <c r="AP5" s="117" t="s">
        <v>1151</v>
      </c>
      <c r="AQ5" s="117" t="s">
        <v>1152</v>
      </c>
      <c r="AR5" s="117" t="s">
        <v>1153</v>
      </c>
      <c r="AS5" s="117" t="s">
        <v>1154</v>
      </c>
      <c r="AT5" s="117" t="s">
        <v>1155</v>
      </c>
      <c r="AU5" s="117" t="s">
        <v>1156</v>
      </c>
      <c r="AV5" s="117" t="s">
        <v>1157</v>
      </c>
      <c r="AW5" s="117" t="s">
        <v>1158</v>
      </c>
      <c r="AX5" s="117" t="s">
        <v>1159</v>
      </c>
      <c r="AY5" s="117" t="s">
        <v>1160</v>
      </c>
      <c r="AZ5" s="117" t="s">
        <v>1161</v>
      </c>
      <c r="BA5" s="117" t="s">
        <v>1162</v>
      </c>
      <c r="BB5" s="117" t="s">
        <v>1163</v>
      </c>
      <c r="BC5" s="117" t="s">
        <v>1164</v>
      </c>
      <c r="BD5" s="117" t="s">
        <v>1165</v>
      </c>
      <c r="BE5" s="117" t="s">
        <v>1166</v>
      </c>
      <c r="BF5" s="117" t="s">
        <v>1167</v>
      </c>
      <c r="BG5" s="117" t="s">
        <v>1168</v>
      </c>
      <c r="BH5" s="117" t="s">
        <v>1169</v>
      </c>
      <c r="BI5" s="117" t="s">
        <v>1170</v>
      </c>
      <c r="BJ5" s="117" t="s">
        <v>1171</v>
      </c>
      <c r="BK5" s="117" t="s">
        <v>1172</v>
      </c>
      <c r="BL5" s="117" t="s">
        <v>1173</v>
      </c>
      <c r="BM5" s="117" t="s">
        <v>1174</v>
      </c>
      <c r="BN5" s="117" t="s">
        <v>1175</v>
      </c>
      <c r="BO5" s="117" t="s">
        <v>1176</v>
      </c>
      <c r="BP5" s="117" t="s">
        <v>1177</v>
      </c>
      <c r="BQ5" s="117" t="s">
        <v>1949</v>
      </c>
      <c r="BR5" s="117" t="s">
        <v>1950</v>
      </c>
      <c r="BS5" s="117" t="s">
        <v>1951</v>
      </c>
      <c r="BT5" s="117" t="s">
        <v>1952</v>
      </c>
      <c r="BU5" s="117" t="s">
        <v>1953</v>
      </c>
      <c r="BV5" s="117" t="s">
        <v>1954</v>
      </c>
      <c r="BW5" s="117" t="s">
        <v>1955</v>
      </c>
      <c r="BX5" s="117" t="s">
        <v>1956</v>
      </c>
      <c r="BY5" s="117" t="s">
        <v>1957</v>
      </c>
      <c r="BZ5" s="117" t="s">
        <v>1958</v>
      </c>
      <c r="CA5" s="117" t="s">
        <v>1959</v>
      </c>
      <c r="CB5" s="117" t="s">
        <v>1960</v>
      </c>
      <c r="CC5" s="117" t="s">
        <v>1961</v>
      </c>
      <c r="CD5" s="117" t="s">
        <v>1962</v>
      </c>
      <c r="CE5" s="117" t="s">
        <v>1963</v>
      </c>
      <c r="CF5" s="117" t="s">
        <v>1964</v>
      </c>
      <c r="CG5" s="117" t="s">
        <v>1965</v>
      </c>
      <c r="CH5" s="117" t="s">
        <v>1966</v>
      </c>
      <c r="CI5" s="117" t="s">
        <v>1967</v>
      </c>
      <c r="CJ5" s="117" t="s">
        <v>1968</v>
      </c>
      <c r="CK5" s="117" t="s">
        <v>1969</v>
      </c>
      <c r="CL5" s="117" t="s">
        <v>1970</v>
      </c>
      <c r="CM5" s="117" t="s">
        <v>1971</v>
      </c>
    </row>
    <row r="6" spans="1:91" x14ac:dyDescent="0.25">
      <c r="A6" s="119"/>
      <c r="B6" s="117" t="s">
        <v>244</v>
      </c>
      <c r="C6" s="117" t="s">
        <v>256</v>
      </c>
      <c r="D6" s="117" t="s">
        <v>281</v>
      </c>
      <c r="E6" s="117" t="s">
        <v>306</v>
      </c>
      <c r="F6" s="117" t="s">
        <v>331</v>
      </c>
      <c r="G6" s="117" t="s">
        <v>356</v>
      </c>
      <c r="H6" s="117" t="s">
        <v>381</v>
      </c>
      <c r="I6" s="117" t="s">
        <v>472</v>
      </c>
      <c r="J6" s="117" t="s">
        <v>473</v>
      </c>
      <c r="K6" s="117" t="s">
        <v>474</v>
      </c>
      <c r="L6" s="117" t="s">
        <v>475</v>
      </c>
      <c r="M6" s="117" t="s">
        <v>476</v>
      </c>
      <c r="N6" s="117" t="s">
        <v>477</v>
      </c>
      <c r="O6" s="117" t="s">
        <v>478</v>
      </c>
      <c r="P6" s="117" t="s">
        <v>479</v>
      </c>
      <c r="Q6" s="117" t="s">
        <v>480</v>
      </c>
      <c r="R6" s="117" t="s">
        <v>481</v>
      </c>
      <c r="S6" s="117" t="s">
        <v>482</v>
      </c>
      <c r="T6" s="117" t="s">
        <v>483</v>
      </c>
      <c r="U6" s="117" t="s">
        <v>484</v>
      </c>
      <c r="V6" s="117" t="s">
        <v>485</v>
      </c>
      <c r="W6" s="117" t="s">
        <v>486</v>
      </c>
      <c r="X6" s="117" t="s">
        <v>487</v>
      </c>
      <c r="Y6" s="117" t="s">
        <v>488</v>
      </c>
      <c r="Z6" s="117" t="s">
        <v>489</v>
      </c>
      <c r="AA6" s="117" t="s">
        <v>490</v>
      </c>
      <c r="AB6" s="117" t="s">
        <v>491</v>
      </c>
      <c r="AC6" s="117" t="s">
        <v>492</v>
      </c>
      <c r="AD6" s="117" t="s">
        <v>493</v>
      </c>
      <c r="AE6" s="117" t="s">
        <v>494</v>
      </c>
      <c r="AF6" s="117" t="s">
        <v>1044</v>
      </c>
      <c r="AG6" s="117" t="s">
        <v>1045</v>
      </c>
      <c r="AH6" s="117" t="s">
        <v>1046</v>
      </c>
      <c r="AI6" s="117" t="s">
        <v>1178</v>
      </c>
      <c r="AJ6" s="117" t="s">
        <v>1179</v>
      </c>
      <c r="AK6" s="117" t="s">
        <v>1180</v>
      </c>
      <c r="AL6" s="117" t="s">
        <v>1181</v>
      </c>
      <c r="AM6" s="117" t="s">
        <v>1182</v>
      </c>
      <c r="AN6" s="117" t="s">
        <v>1183</v>
      </c>
      <c r="AO6" s="117" t="s">
        <v>1184</v>
      </c>
      <c r="AP6" s="117" t="s">
        <v>1185</v>
      </c>
      <c r="AQ6" s="117" t="s">
        <v>1186</v>
      </c>
      <c r="AR6" s="117" t="s">
        <v>1187</v>
      </c>
      <c r="AS6" s="117" t="s">
        <v>1188</v>
      </c>
      <c r="AT6" s="117" t="s">
        <v>1189</v>
      </c>
      <c r="AU6" s="117" t="s">
        <v>1190</v>
      </c>
      <c r="AV6" s="117" t="s">
        <v>1191</v>
      </c>
      <c r="AW6" s="117" t="s">
        <v>1192</v>
      </c>
      <c r="AX6" s="117" t="s">
        <v>1193</v>
      </c>
      <c r="AY6" s="117" t="s">
        <v>1194</v>
      </c>
      <c r="AZ6" s="117" t="s">
        <v>1195</v>
      </c>
      <c r="BA6" s="117" t="s">
        <v>1196</v>
      </c>
      <c r="BB6" s="117" t="s">
        <v>1197</v>
      </c>
      <c r="BC6" s="117" t="s">
        <v>1198</v>
      </c>
      <c r="BD6" s="117" t="s">
        <v>1199</v>
      </c>
      <c r="BE6" s="117" t="s">
        <v>1200</v>
      </c>
      <c r="BF6" s="117" t="s">
        <v>1201</v>
      </c>
      <c r="BG6" s="117" t="s">
        <v>1202</v>
      </c>
      <c r="BH6" s="117" t="s">
        <v>1203</v>
      </c>
      <c r="BI6" s="117" t="s">
        <v>1204</v>
      </c>
      <c r="BJ6" s="117" t="s">
        <v>1205</v>
      </c>
      <c r="BK6" s="117" t="s">
        <v>1206</v>
      </c>
      <c r="BL6" s="117" t="s">
        <v>1207</v>
      </c>
      <c r="BM6" s="117" t="s">
        <v>1208</v>
      </c>
      <c r="BN6" s="117" t="s">
        <v>1209</v>
      </c>
      <c r="BO6" s="117" t="s">
        <v>1210</v>
      </c>
      <c r="BP6" s="117" t="s">
        <v>1211</v>
      </c>
      <c r="BQ6" s="117" t="s">
        <v>1972</v>
      </c>
      <c r="BR6" s="117" t="s">
        <v>1973</v>
      </c>
      <c r="BS6" s="117" t="s">
        <v>1974</v>
      </c>
      <c r="BT6" s="117" t="s">
        <v>1975</v>
      </c>
      <c r="BU6" s="117" t="s">
        <v>1976</v>
      </c>
      <c r="BV6" s="117" t="s">
        <v>1977</v>
      </c>
      <c r="BW6" s="117" t="s">
        <v>1978</v>
      </c>
      <c r="BX6" s="117" t="s">
        <v>1979</v>
      </c>
      <c r="BY6" s="117" t="s">
        <v>1980</v>
      </c>
      <c r="BZ6" s="117" t="s">
        <v>1981</v>
      </c>
      <c r="CA6" s="117" t="s">
        <v>1982</v>
      </c>
      <c r="CB6" s="117" t="s">
        <v>1983</v>
      </c>
      <c r="CC6" s="117" t="s">
        <v>1984</v>
      </c>
      <c r="CD6" s="117" t="s">
        <v>1985</v>
      </c>
      <c r="CE6" s="117" t="s">
        <v>1986</v>
      </c>
      <c r="CF6" s="117" t="s">
        <v>1987</v>
      </c>
      <c r="CG6" s="117" t="s">
        <v>1988</v>
      </c>
      <c r="CH6" s="117" t="s">
        <v>1989</v>
      </c>
      <c r="CI6" s="117" t="s">
        <v>1990</v>
      </c>
      <c r="CJ6" s="117" t="s">
        <v>1991</v>
      </c>
      <c r="CK6" s="117" t="s">
        <v>1992</v>
      </c>
      <c r="CL6" s="117" t="s">
        <v>1993</v>
      </c>
      <c r="CM6" s="117" t="s">
        <v>1994</v>
      </c>
    </row>
    <row r="7" spans="1:91" x14ac:dyDescent="0.25">
      <c r="A7" s="119"/>
      <c r="B7" s="117" t="s">
        <v>243</v>
      </c>
      <c r="C7" s="117" t="s">
        <v>257</v>
      </c>
      <c r="D7" s="117" t="s">
        <v>282</v>
      </c>
      <c r="E7" s="117" t="s">
        <v>307</v>
      </c>
      <c r="F7" s="117" t="s">
        <v>332</v>
      </c>
      <c r="G7" s="117" t="s">
        <v>357</v>
      </c>
      <c r="H7" s="117" t="s">
        <v>382</v>
      </c>
      <c r="I7" s="117" t="s">
        <v>495</v>
      </c>
      <c r="J7" s="117" t="s">
        <v>496</v>
      </c>
      <c r="K7" s="117" t="s">
        <v>497</v>
      </c>
      <c r="L7" s="117" t="s">
        <v>498</v>
      </c>
      <c r="M7" s="117" t="s">
        <v>499</v>
      </c>
      <c r="N7" s="117" t="s">
        <v>500</v>
      </c>
      <c r="O7" s="117" t="s">
        <v>501</v>
      </c>
      <c r="P7" s="117" t="s">
        <v>502</v>
      </c>
      <c r="Q7" s="117" t="s">
        <v>503</v>
      </c>
      <c r="R7" s="117" t="s">
        <v>504</v>
      </c>
      <c r="S7" s="117" t="s">
        <v>505</v>
      </c>
      <c r="T7" s="117" t="s">
        <v>506</v>
      </c>
      <c r="U7" s="117" t="s">
        <v>507</v>
      </c>
      <c r="V7" s="117" t="s">
        <v>508</v>
      </c>
      <c r="W7" s="117" t="s">
        <v>509</v>
      </c>
      <c r="X7" s="117" t="s">
        <v>510</v>
      </c>
      <c r="Y7" s="117" t="s">
        <v>511</v>
      </c>
      <c r="Z7" s="117" t="s">
        <v>512</v>
      </c>
      <c r="AA7" s="117" t="s">
        <v>513</v>
      </c>
      <c r="AB7" s="117" t="s">
        <v>514</v>
      </c>
      <c r="AC7" s="117" t="s">
        <v>515</v>
      </c>
      <c r="AD7" s="117" t="s">
        <v>516</v>
      </c>
      <c r="AE7" s="117" t="s">
        <v>517</v>
      </c>
      <c r="AF7" s="117" t="s">
        <v>1047</v>
      </c>
      <c r="AG7" s="117" t="s">
        <v>1048</v>
      </c>
      <c r="AH7" s="117" t="s">
        <v>1049</v>
      </c>
      <c r="AI7" s="117" t="s">
        <v>1212</v>
      </c>
      <c r="AJ7" s="117" t="s">
        <v>1213</v>
      </c>
      <c r="AK7" s="117" t="s">
        <v>1214</v>
      </c>
      <c r="AL7" s="117" t="s">
        <v>1215</v>
      </c>
      <c r="AM7" s="117" t="s">
        <v>1216</v>
      </c>
      <c r="AN7" s="117" t="s">
        <v>1217</v>
      </c>
      <c r="AO7" s="117" t="s">
        <v>1218</v>
      </c>
      <c r="AP7" s="117" t="s">
        <v>1219</v>
      </c>
      <c r="AQ7" s="117" t="s">
        <v>1220</v>
      </c>
      <c r="AR7" s="117" t="s">
        <v>1221</v>
      </c>
      <c r="AS7" s="117" t="s">
        <v>1222</v>
      </c>
      <c r="AT7" s="117" t="s">
        <v>1223</v>
      </c>
      <c r="AU7" s="117" t="s">
        <v>1224</v>
      </c>
      <c r="AV7" s="117" t="s">
        <v>1225</v>
      </c>
      <c r="AW7" s="117" t="s">
        <v>1226</v>
      </c>
      <c r="AX7" s="117" t="s">
        <v>1227</v>
      </c>
      <c r="AY7" s="117" t="s">
        <v>1228</v>
      </c>
      <c r="AZ7" s="117" t="s">
        <v>1229</v>
      </c>
      <c r="BA7" s="117" t="s">
        <v>1230</v>
      </c>
      <c r="BB7" s="117" t="s">
        <v>1231</v>
      </c>
      <c r="BC7" s="117" t="s">
        <v>1232</v>
      </c>
      <c r="BD7" s="117" t="s">
        <v>1233</v>
      </c>
      <c r="BE7" s="117" t="s">
        <v>1234</v>
      </c>
      <c r="BF7" s="117" t="s">
        <v>1235</v>
      </c>
      <c r="BG7" s="117" t="s">
        <v>1236</v>
      </c>
      <c r="BH7" s="117" t="s">
        <v>1237</v>
      </c>
      <c r="BI7" s="117" t="s">
        <v>1238</v>
      </c>
      <c r="BJ7" s="117" t="s">
        <v>1239</v>
      </c>
      <c r="BK7" s="117" t="s">
        <v>1240</v>
      </c>
      <c r="BL7" s="117" t="s">
        <v>1241</v>
      </c>
      <c r="BM7" s="117" t="s">
        <v>1242</v>
      </c>
      <c r="BN7" s="117" t="s">
        <v>1243</v>
      </c>
      <c r="BO7" s="117" t="s">
        <v>1244</v>
      </c>
      <c r="BP7" s="117" t="s">
        <v>1245</v>
      </c>
      <c r="BQ7" s="117" t="s">
        <v>1995</v>
      </c>
      <c r="BR7" s="117" t="s">
        <v>1996</v>
      </c>
      <c r="BS7" s="117" t="s">
        <v>1997</v>
      </c>
      <c r="BT7" s="117" t="s">
        <v>1998</v>
      </c>
      <c r="BU7" s="117" t="s">
        <v>1999</v>
      </c>
      <c r="BV7" s="117" t="s">
        <v>2000</v>
      </c>
      <c r="BW7" s="117" t="s">
        <v>2001</v>
      </c>
      <c r="BX7" s="117" t="s">
        <v>2002</v>
      </c>
      <c r="BY7" s="117" t="s">
        <v>2003</v>
      </c>
      <c r="BZ7" s="117" t="s">
        <v>2004</v>
      </c>
      <c r="CA7" s="117" t="s">
        <v>2005</v>
      </c>
      <c r="CB7" s="117" t="s">
        <v>2006</v>
      </c>
      <c r="CC7" s="117" t="s">
        <v>2007</v>
      </c>
      <c r="CD7" s="117" t="s">
        <v>2008</v>
      </c>
      <c r="CE7" s="117" t="s">
        <v>2009</v>
      </c>
      <c r="CF7" s="117" t="s">
        <v>2010</v>
      </c>
      <c r="CG7" s="117" t="s">
        <v>2011</v>
      </c>
      <c r="CH7" s="117" t="s">
        <v>2012</v>
      </c>
      <c r="CI7" s="117" t="s">
        <v>2013</v>
      </c>
      <c r="CJ7" s="117" t="s">
        <v>2014</v>
      </c>
      <c r="CK7" s="117" t="s">
        <v>2015</v>
      </c>
      <c r="CL7" s="117" t="s">
        <v>2016</v>
      </c>
      <c r="CM7" s="117" t="s">
        <v>2017</v>
      </c>
    </row>
    <row r="8" spans="1:91" x14ac:dyDescent="0.25">
      <c r="A8" s="119"/>
      <c r="B8" s="117" t="s">
        <v>242</v>
      </c>
      <c r="C8" s="117" t="s">
        <v>258</v>
      </c>
      <c r="D8" s="117" t="s">
        <v>283</v>
      </c>
      <c r="E8" s="117" t="s">
        <v>308</v>
      </c>
      <c r="F8" s="117" t="s">
        <v>333</v>
      </c>
      <c r="G8" s="117" t="s">
        <v>358</v>
      </c>
      <c r="H8" s="117" t="s">
        <v>383</v>
      </c>
      <c r="I8" s="117" t="s">
        <v>518</v>
      </c>
      <c r="J8" s="117" t="s">
        <v>519</v>
      </c>
      <c r="K8" s="117" t="s">
        <v>520</v>
      </c>
      <c r="L8" s="117" t="s">
        <v>521</v>
      </c>
      <c r="M8" s="117" t="s">
        <v>522</v>
      </c>
      <c r="N8" s="117" t="s">
        <v>523</v>
      </c>
      <c r="O8" s="117" t="s">
        <v>524</v>
      </c>
      <c r="P8" s="117" t="s">
        <v>525</v>
      </c>
      <c r="Q8" s="117" t="s">
        <v>526</v>
      </c>
      <c r="R8" s="117" t="s">
        <v>527</v>
      </c>
      <c r="S8" s="117" t="s">
        <v>528</v>
      </c>
      <c r="T8" s="117" t="s">
        <v>529</v>
      </c>
      <c r="U8" s="117" t="s">
        <v>530</v>
      </c>
      <c r="V8" s="117" t="s">
        <v>531</v>
      </c>
      <c r="W8" s="117" t="s">
        <v>532</v>
      </c>
      <c r="X8" s="117" t="s">
        <v>533</v>
      </c>
      <c r="Y8" s="117" t="s">
        <v>534</v>
      </c>
      <c r="Z8" s="117" t="s">
        <v>535</v>
      </c>
      <c r="AA8" s="117" t="s">
        <v>536</v>
      </c>
      <c r="AB8" s="117" t="s">
        <v>537</v>
      </c>
      <c r="AC8" s="117" t="s">
        <v>538</v>
      </c>
      <c r="AD8" s="117" t="s">
        <v>539</v>
      </c>
      <c r="AE8" s="117" t="s">
        <v>540</v>
      </c>
      <c r="AF8" s="117" t="s">
        <v>1050</v>
      </c>
      <c r="AG8" s="117" t="s">
        <v>1051</v>
      </c>
      <c r="AH8" s="117" t="s">
        <v>1052</v>
      </c>
      <c r="AI8" s="117" t="s">
        <v>1246</v>
      </c>
      <c r="AJ8" s="117" t="s">
        <v>1247</v>
      </c>
      <c r="AK8" s="117" t="s">
        <v>1248</v>
      </c>
      <c r="AL8" s="117" t="s">
        <v>1249</v>
      </c>
      <c r="AM8" s="117" t="s">
        <v>1250</v>
      </c>
      <c r="AN8" s="117" t="s">
        <v>1251</v>
      </c>
      <c r="AO8" s="117" t="s">
        <v>1252</v>
      </c>
      <c r="AP8" s="117" t="s">
        <v>1253</v>
      </c>
      <c r="AQ8" s="117" t="s">
        <v>1254</v>
      </c>
      <c r="AR8" s="117" t="s">
        <v>1255</v>
      </c>
      <c r="AS8" s="117" t="s">
        <v>1256</v>
      </c>
      <c r="AT8" s="117" t="s">
        <v>1257</v>
      </c>
      <c r="AU8" s="117" t="s">
        <v>1258</v>
      </c>
      <c r="AV8" s="117" t="s">
        <v>1259</v>
      </c>
      <c r="AW8" s="117" t="s">
        <v>1260</v>
      </c>
      <c r="AX8" s="117" t="s">
        <v>1261</v>
      </c>
      <c r="AY8" s="117" t="s">
        <v>1262</v>
      </c>
      <c r="AZ8" s="117" t="s">
        <v>1263</v>
      </c>
      <c r="BA8" s="117" t="s">
        <v>1264</v>
      </c>
      <c r="BB8" s="117" t="s">
        <v>1265</v>
      </c>
      <c r="BC8" s="117" t="s">
        <v>1266</v>
      </c>
      <c r="BD8" s="117" t="s">
        <v>1267</v>
      </c>
      <c r="BE8" s="117" t="s">
        <v>1268</v>
      </c>
      <c r="BF8" s="117" t="s">
        <v>1269</v>
      </c>
      <c r="BG8" s="117" t="s">
        <v>1270</v>
      </c>
      <c r="BH8" s="117" t="s">
        <v>1271</v>
      </c>
      <c r="BI8" s="117" t="s">
        <v>1272</v>
      </c>
      <c r="BJ8" s="117" t="s">
        <v>1273</v>
      </c>
      <c r="BK8" s="117" t="s">
        <v>1274</v>
      </c>
      <c r="BL8" s="117" t="s">
        <v>1275</v>
      </c>
      <c r="BM8" s="117" t="s">
        <v>1276</v>
      </c>
      <c r="BN8" s="117" t="s">
        <v>1277</v>
      </c>
      <c r="BO8" s="117" t="s">
        <v>1278</v>
      </c>
      <c r="BP8" s="117" t="s">
        <v>1279</v>
      </c>
      <c r="BQ8" s="117" t="s">
        <v>2018</v>
      </c>
      <c r="BR8" s="117" t="s">
        <v>2019</v>
      </c>
      <c r="BS8" s="117" t="s">
        <v>2020</v>
      </c>
      <c r="BT8" s="117" t="s">
        <v>2021</v>
      </c>
      <c r="BU8" s="117" t="s">
        <v>2022</v>
      </c>
      <c r="BV8" s="117" t="s">
        <v>2023</v>
      </c>
      <c r="BW8" s="117" t="s">
        <v>2024</v>
      </c>
      <c r="BX8" s="117" t="s">
        <v>2025</v>
      </c>
      <c r="BY8" s="117" t="s">
        <v>2026</v>
      </c>
      <c r="BZ8" s="117" t="s">
        <v>2027</v>
      </c>
      <c r="CA8" s="117" t="s">
        <v>2028</v>
      </c>
      <c r="CB8" s="117" t="s">
        <v>2029</v>
      </c>
      <c r="CC8" s="117" t="s">
        <v>2030</v>
      </c>
      <c r="CD8" s="117" t="s">
        <v>2031</v>
      </c>
      <c r="CE8" s="117" t="s">
        <v>2032</v>
      </c>
      <c r="CF8" s="117" t="s">
        <v>2033</v>
      </c>
      <c r="CG8" s="117" t="s">
        <v>2034</v>
      </c>
      <c r="CH8" s="117" t="s">
        <v>2035</v>
      </c>
      <c r="CI8" s="117" t="s">
        <v>2036</v>
      </c>
      <c r="CJ8" s="117" t="s">
        <v>2037</v>
      </c>
      <c r="CK8" s="117" t="s">
        <v>2038</v>
      </c>
      <c r="CL8" s="117" t="s">
        <v>2039</v>
      </c>
      <c r="CM8" s="117" t="s">
        <v>2040</v>
      </c>
    </row>
    <row r="9" spans="1:91" x14ac:dyDescent="0.25">
      <c r="A9" s="119"/>
      <c r="B9" s="117" t="s">
        <v>241</v>
      </c>
      <c r="C9" s="117" t="s">
        <v>259</v>
      </c>
      <c r="D9" s="117" t="s">
        <v>284</v>
      </c>
      <c r="E9" s="117" t="s">
        <v>309</v>
      </c>
      <c r="F9" s="117" t="s">
        <v>334</v>
      </c>
      <c r="G9" s="117" t="s">
        <v>359</v>
      </c>
      <c r="H9" s="117" t="s">
        <v>384</v>
      </c>
      <c r="I9" s="117" t="s">
        <v>541</v>
      </c>
      <c r="J9" s="117" t="s">
        <v>542</v>
      </c>
      <c r="K9" s="117" t="s">
        <v>543</v>
      </c>
      <c r="L9" s="117" t="s">
        <v>544</v>
      </c>
      <c r="M9" s="117" t="s">
        <v>545</v>
      </c>
      <c r="N9" s="117" t="s">
        <v>546</v>
      </c>
      <c r="O9" s="117" t="s">
        <v>547</v>
      </c>
      <c r="P9" s="117" t="s">
        <v>548</v>
      </c>
      <c r="Q9" s="117" t="s">
        <v>549</v>
      </c>
      <c r="R9" s="117" t="s">
        <v>550</v>
      </c>
      <c r="S9" s="117" t="s">
        <v>551</v>
      </c>
      <c r="T9" s="117" t="s">
        <v>552</v>
      </c>
      <c r="U9" s="117" t="s">
        <v>553</v>
      </c>
      <c r="V9" s="117" t="s">
        <v>554</v>
      </c>
      <c r="W9" s="117" t="s">
        <v>555</v>
      </c>
      <c r="X9" s="117" t="s">
        <v>556</v>
      </c>
      <c r="Y9" s="117" t="s">
        <v>557</v>
      </c>
      <c r="Z9" s="117" t="s">
        <v>558</v>
      </c>
      <c r="AA9" s="117" t="s">
        <v>559</v>
      </c>
      <c r="AB9" s="117" t="s">
        <v>560</v>
      </c>
      <c r="AC9" s="117" t="s">
        <v>561</v>
      </c>
      <c r="AD9" s="117" t="s">
        <v>562</v>
      </c>
      <c r="AE9" s="117" t="s">
        <v>563</v>
      </c>
      <c r="AF9" s="117" t="s">
        <v>1053</v>
      </c>
      <c r="AG9" s="117" t="s">
        <v>1054</v>
      </c>
      <c r="AH9" s="117" t="s">
        <v>1055</v>
      </c>
      <c r="AI9" s="117" t="s">
        <v>1280</v>
      </c>
      <c r="AJ9" s="117" t="s">
        <v>1281</v>
      </c>
      <c r="AK9" s="117" t="s">
        <v>1282</v>
      </c>
      <c r="AL9" s="117" t="s">
        <v>1283</v>
      </c>
      <c r="AM9" s="117" t="s">
        <v>1284</v>
      </c>
      <c r="AN9" s="117" t="s">
        <v>1285</v>
      </c>
      <c r="AO9" s="117" t="s">
        <v>1286</v>
      </c>
      <c r="AP9" s="117" t="s">
        <v>1287</v>
      </c>
      <c r="AQ9" s="117" t="s">
        <v>1288</v>
      </c>
      <c r="AR9" s="117" t="s">
        <v>1289</v>
      </c>
      <c r="AS9" s="117" t="s">
        <v>1290</v>
      </c>
      <c r="AT9" s="117" t="s">
        <v>1291</v>
      </c>
      <c r="AU9" s="117" t="s">
        <v>1292</v>
      </c>
      <c r="AV9" s="117" t="s">
        <v>1293</v>
      </c>
      <c r="AW9" s="117" t="s">
        <v>1294</v>
      </c>
      <c r="AX9" s="117" t="s">
        <v>1295</v>
      </c>
      <c r="AY9" s="117" t="s">
        <v>1296</v>
      </c>
      <c r="AZ9" s="117" t="s">
        <v>1297</v>
      </c>
      <c r="BA9" s="117" t="s">
        <v>1298</v>
      </c>
      <c r="BB9" s="117" t="s">
        <v>1299</v>
      </c>
      <c r="BC9" s="117" t="s">
        <v>1300</v>
      </c>
      <c r="BD9" s="117" t="s">
        <v>1301</v>
      </c>
      <c r="BE9" s="117" t="s">
        <v>1302</v>
      </c>
      <c r="BF9" s="117" t="s">
        <v>1303</v>
      </c>
      <c r="BG9" s="117" t="s">
        <v>1304</v>
      </c>
      <c r="BH9" s="117" t="s">
        <v>1305</v>
      </c>
      <c r="BI9" s="117" t="s">
        <v>1306</v>
      </c>
      <c r="BJ9" s="117" t="s">
        <v>1307</v>
      </c>
      <c r="BK9" s="117" t="s">
        <v>1308</v>
      </c>
      <c r="BL9" s="117" t="s">
        <v>1309</v>
      </c>
      <c r="BM9" s="117" t="s">
        <v>1310</v>
      </c>
      <c r="BN9" s="117" t="s">
        <v>1311</v>
      </c>
      <c r="BO9" s="117" t="s">
        <v>1312</v>
      </c>
      <c r="BP9" s="117" t="s">
        <v>1313</v>
      </c>
      <c r="BQ9" s="117" t="s">
        <v>2041</v>
      </c>
      <c r="BR9" s="117" t="s">
        <v>2042</v>
      </c>
      <c r="BS9" s="117" t="s">
        <v>2043</v>
      </c>
      <c r="BT9" s="117" t="s">
        <v>2044</v>
      </c>
      <c r="BU9" s="117" t="s">
        <v>2045</v>
      </c>
      <c r="BV9" s="117" t="s">
        <v>2046</v>
      </c>
      <c r="BW9" s="117" t="s">
        <v>2047</v>
      </c>
      <c r="BX9" s="117" t="s">
        <v>2048</v>
      </c>
      <c r="BY9" s="117" t="s">
        <v>2049</v>
      </c>
      <c r="BZ9" s="117" t="s">
        <v>2050</v>
      </c>
      <c r="CA9" s="117" t="s">
        <v>2051</v>
      </c>
      <c r="CB9" s="117" t="s">
        <v>2052</v>
      </c>
      <c r="CC9" s="117" t="s">
        <v>2053</v>
      </c>
      <c r="CD9" s="117" t="s">
        <v>2054</v>
      </c>
      <c r="CE9" s="117" t="s">
        <v>2055</v>
      </c>
      <c r="CF9" s="117" t="s">
        <v>2056</v>
      </c>
      <c r="CG9" s="117" t="s">
        <v>2057</v>
      </c>
      <c r="CH9" s="117" t="s">
        <v>2058</v>
      </c>
      <c r="CI9" s="117" t="s">
        <v>2059</v>
      </c>
      <c r="CJ9" s="117" t="s">
        <v>2060</v>
      </c>
      <c r="CK9" s="117" t="s">
        <v>2061</v>
      </c>
      <c r="CL9" s="117" t="s">
        <v>2062</v>
      </c>
      <c r="CM9" s="117" t="s">
        <v>2063</v>
      </c>
    </row>
    <row r="10" spans="1:91" x14ac:dyDescent="0.25">
      <c r="A10" s="119"/>
      <c r="B10" s="117" t="s">
        <v>240</v>
      </c>
      <c r="C10" s="117" t="s">
        <v>260</v>
      </c>
      <c r="D10" s="117" t="s">
        <v>285</v>
      </c>
      <c r="E10" s="117" t="s">
        <v>310</v>
      </c>
      <c r="F10" s="117" t="s">
        <v>335</v>
      </c>
      <c r="G10" s="117" t="s">
        <v>360</v>
      </c>
      <c r="H10" s="117" t="s">
        <v>385</v>
      </c>
      <c r="I10" s="117" t="s">
        <v>564</v>
      </c>
      <c r="J10" s="117" t="s">
        <v>565</v>
      </c>
      <c r="K10" s="117" t="s">
        <v>566</v>
      </c>
      <c r="L10" s="117" t="s">
        <v>567</v>
      </c>
      <c r="M10" s="117" t="s">
        <v>568</v>
      </c>
      <c r="N10" s="117" t="s">
        <v>569</v>
      </c>
      <c r="O10" s="117" t="s">
        <v>570</v>
      </c>
      <c r="P10" s="117" t="s">
        <v>571</v>
      </c>
      <c r="Q10" s="117" t="s">
        <v>572</v>
      </c>
      <c r="R10" s="117" t="s">
        <v>573</v>
      </c>
      <c r="S10" s="117" t="s">
        <v>574</v>
      </c>
      <c r="T10" s="117" t="s">
        <v>575</v>
      </c>
      <c r="U10" s="117" t="s">
        <v>576</v>
      </c>
      <c r="V10" s="117" t="s">
        <v>577</v>
      </c>
      <c r="W10" s="117" t="s">
        <v>578</v>
      </c>
      <c r="X10" s="117" t="s">
        <v>579</v>
      </c>
      <c r="Y10" s="117" t="s">
        <v>580</v>
      </c>
      <c r="Z10" s="117" t="s">
        <v>581</v>
      </c>
      <c r="AA10" s="117" t="s">
        <v>582</v>
      </c>
      <c r="AB10" s="117" t="s">
        <v>583</v>
      </c>
      <c r="AC10" s="117" t="s">
        <v>584</v>
      </c>
      <c r="AD10" s="117" t="s">
        <v>585</v>
      </c>
      <c r="AE10" s="117" t="s">
        <v>586</v>
      </c>
      <c r="AF10" s="117" t="s">
        <v>1056</v>
      </c>
      <c r="AG10" s="117" t="s">
        <v>1057</v>
      </c>
      <c r="AH10" s="117" t="s">
        <v>1058</v>
      </c>
      <c r="AI10" s="117" t="s">
        <v>1314</v>
      </c>
      <c r="AJ10" s="117" t="s">
        <v>1315</v>
      </c>
      <c r="AK10" s="117" t="s">
        <v>1316</v>
      </c>
      <c r="AL10" s="117" t="s">
        <v>1317</v>
      </c>
      <c r="AM10" s="117" t="s">
        <v>1318</v>
      </c>
      <c r="AN10" s="117" t="s">
        <v>1319</v>
      </c>
      <c r="AO10" s="117" t="s">
        <v>1320</v>
      </c>
      <c r="AP10" s="117" t="s">
        <v>1321</v>
      </c>
      <c r="AQ10" s="117" t="s">
        <v>1322</v>
      </c>
      <c r="AR10" s="117" t="s">
        <v>1323</v>
      </c>
      <c r="AS10" s="117" t="s">
        <v>1324</v>
      </c>
      <c r="AT10" s="117" t="s">
        <v>1325</v>
      </c>
      <c r="AU10" s="117" t="s">
        <v>1326</v>
      </c>
      <c r="AV10" s="117" t="s">
        <v>1327</v>
      </c>
      <c r="AW10" s="117" t="s">
        <v>1328</v>
      </c>
      <c r="AX10" s="117" t="s">
        <v>1329</v>
      </c>
      <c r="AY10" s="117" t="s">
        <v>1330</v>
      </c>
      <c r="AZ10" s="117" t="s">
        <v>1331</v>
      </c>
      <c r="BA10" s="117" t="s">
        <v>1332</v>
      </c>
      <c r="BB10" s="117" t="s">
        <v>1333</v>
      </c>
      <c r="BC10" s="117" t="s">
        <v>1334</v>
      </c>
      <c r="BD10" s="117" t="s">
        <v>1335</v>
      </c>
      <c r="BE10" s="117" t="s">
        <v>1336</v>
      </c>
      <c r="BF10" s="117" t="s">
        <v>1337</v>
      </c>
      <c r="BG10" s="117" t="s">
        <v>1338</v>
      </c>
      <c r="BH10" s="117" t="s">
        <v>1339</v>
      </c>
      <c r="BI10" s="117" t="s">
        <v>1340</v>
      </c>
      <c r="BJ10" s="117" t="s">
        <v>1341</v>
      </c>
      <c r="BK10" s="117" t="s">
        <v>1342</v>
      </c>
      <c r="BL10" s="117" t="s">
        <v>1343</v>
      </c>
      <c r="BM10" s="117" t="s">
        <v>1344</v>
      </c>
      <c r="BN10" s="117" t="s">
        <v>1345</v>
      </c>
      <c r="BO10" s="117" t="s">
        <v>1346</v>
      </c>
      <c r="BP10" s="117" t="s">
        <v>1347</v>
      </c>
      <c r="BQ10" s="117" t="s">
        <v>2064</v>
      </c>
      <c r="BR10" s="117" t="s">
        <v>2065</v>
      </c>
      <c r="BS10" s="117" t="s">
        <v>2066</v>
      </c>
      <c r="BT10" s="117" t="s">
        <v>2067</v>
      </c>
      <c r="BU10" s="117" t="s">
        <v>2068</v>
      </c>
      <c r="BV10" s="117" t="s">
        <v>2069</v>
      </c>
      <c r="BW10" s="117" t="s">
        <v>2070</v>
      </c>
      <c r="BX10" s="117" t="s">
        <v>2071</v>
      </c>
      <c r="BY10" s="117" t="s">
        <v>2072</v>
      </c>
      <c r="BZ10" s="117" t="s">
        <v>2073</v>
      </c>
      <c r="CA10" s="117" t="s">
        <v>2074</v>
      </c>
      <c r="CB10" s="117" t="s">
        <v>2075</v>
      </c>
      <c r="CC10" s="117" t="s">
        <v>2076</v>
      </c>
      <c r="CD10" s="117" t="s">
        <v>2077</v>
      </c>
      <c r="CE10" s="117" t="s">
        <v>2078</v>
      </c>
      <c r="CF10" s="117" t="s">
        <v>2079</v>
      </c>
      <c r="CG10" s="117" t="s">
        <v>2080</v>
      </c>
      <c r="CH10" s="117" t="s">
        <v>2081</v>
      </c>
      <c r="CI10" s="117" t="s">
        <v>2082</v>
      </c>
      <c r="CJ10" s="117" t="s">
        <v>2083</v>
      </c>
      <c r="CK10" s="117" t="s">
        <v>2084</v>
      </c>
      <c r="CL10" s="117" t="s">
        <v>2085</v>
      </c>
      <c r="CM10" s="117" t="s">
        <v>2086</v>
      </c>
    </row>
    <row r="11" spans="1:91" x14ac:dyDescent="0.25">
      <c r="A11" s="119"/>
      <c r="B11" s="117" t="s">
        <v>239</v>
      </c>
      <c r="C11" s="117" t="s">
        <v>261</v>
      </c>
      <c r="D11" s="117" t="s">
        <v>286</v>
      </c>
      <c r="E11" s="117" t="s">
        <v>311</v>
      </c>
      <c r="F11" s="117" t="s">
        <v>336</v>
      </c>
      <c r="G11" s="117" t="s">
        <v>361</v>
      </c>
      <c r="H11" s="117" t="s">
        <v>386</v>
      </c>
      <c r="I11" s="117" t="s">
        <v>587</v>
      </c>
      <c r="J11" s="117" t="s">
        <v>588</v>
      </c>
      <c r="K11" s="117" t="s">
        <v>589</v>
      </c>
      <c r="L11" s="117" t="s">
        <v>590</v>
      </c>
      <c r="M11" s="117" t="s">
        <v>591</v>
      </c>
      <c r="N11" s="117" t="s">
        <v>592</v>
      </c>
      <c r="O11" s="117" t="s">
        <v>593</v>
      </c>
      <c r="P11" s="117" t="s">
        <v>594</v>
      </c>
      <c r="Q11" s="117" t="s">
        <v>595</v>
      </c>
      <c r="R11" s="117" t="s">
        <v>596</v>
      </c>
      <c r="S11" s="117" t="s">
        <v>597</v>
      </c>
      <c r="T11" s="117" t="s">
        <v>598</v>
      </c>
      <c r="U11" s="117" t="s">
        <v>599</v>
      </c>
      <c r="V11" s="117" t="s">
        <v>600</v>
      </c>
      <c r="W11" s="117" t="s">
        <v>601</v>
      </c>
      <c r="X11" s="117" t="s">
        <v>602</v>
      </c>
      <c r="Y11" s="117" t="s">
        <v>603</v>
      </c>
      <c r="Z11" s="117" t="s">
        <v>604</v>
      </c>
      <c r="AA11" s="117" t="s">
        <v>605</v>
      </c>
      <c r="AB11" s="117" t="s">
        <v>606</v>
      </c>
      <c r="AC11" s="117" t="s">
        <v>607</v>
      </c>
      <c r="AD11" s="117" t="s">
        <v>608</v>
      </c>
      <c r="AE11" s="117" t="s">
        <v>609</v>
      </c>
      <c r="AF11" s="117" t="s">
        <v>1059</v>
      </c>
      <c r="AG11" s="117" t="s">
        <v>1060</v>
      </c>
      <c r="AH11" s="117" t="s">
        <v>1061</v>
      </c>
      <c r="AI11" s="117" t="s">
        <v>1348</v>
      </c>
      <c r="AJ11" s="117" t="s">
        <v>1349</v>
      </c>
      <c r="AK11" s="117" t="s">
        <v>1350</v>
      </c>
      <c r="AL11" s="117" t="s">
        <v>1351</v>
      </c>
      <c r="AM11" s="117" t="s">
        <v>1352</v>
      </c>
      <c r="AN11" s="117" t="s">
        <v>1353</v>
      </c>
      <c r="AO11" s="117" t="s">
        <v>1354</v>
      </c>
      <c r="AP11" s="117" t="s">
        <v>1355</v>
      </c>
      <c r="AQ11" s="117" t="s">
        <v>1356</v>
      </c>
      <c r="AR11" s="117" t="s">
        <v>1357</v>
      </c>
      <c r="AS11" s="117" t="s">
        <v>1358</v>
      </c>
      <c r="AT11" s="117" t="s">
        <v>1359</v>
      </c>
      <c r="AU11" s="117" t="s">
        <v>1360</v>
      </c>
      <c r="AV11" s="117" t="s">
        <v>1361</v>
      </c>
      <c r="AW11" s="117" t="s">
        <v>1362</v>
      </c>
      <c r="AX11" s="117" t="s">
        <v>1363</v>
      </c>
      <c r="AY11" s="117" t="s">
        <v>1364</v>
      </c>
      <c r="AZ11" s="117" t="s">
        <v>1365</v>
      </c>
      <c r="BA11" s="117" t="s">
        <v>1366</v>
      </c>
      <c r="BB11" s="117" t="s">
        <v>1367</v>
      </c>
      <c r="BC11" s="117" t="s">
        <v>1368</v>
      </c>
      <c r="BD11" s="117" t="s">
        <v>1369</v>
      </c>
      <c r="BE11" s="117" t="s">
        <v>1370</v>
      </c>
      <c r="BF11" s="117" t="s">
        <v>1371</v>
      </c>
      <c r="BG11" s="117" t="s">
        <v>1372</v>
      </c>
      <c r="BH11" s="117" t="s">
        <v>1373</v>
      </c>
      <c r="BI11" s="117" t="s">
        <v>1374</v>
      </c>
      <c r="BJ11" s="117" t="s">
        <v>1375</v>
      </c>
      <c r="BK11" s="117" t="s">
        <v>1376</v>
      </c>
      <c r="BL11" s="117" t="s">
        <v>1377</v>
      </c>
      <c r="BM11" s="117" t="s">
        <v>1378</v>
      </c>
      <c r="BN11" s="117" t="s">
        <v>1379</v>
      </c>
      <c r="BO11" s="117" t="s">
        <v>1380</v>
      </c>
      <c r="BP11" s="117" t="s">
        <v>1381</v>
      </c>
      <c r="BQ11" s="117" t="s">
        <v>2087</v>
      </c>
      <c r="BR11" s="117" t="s">
        <v>2088</v>
      </c>
      <c r="BS11" s="117" t="s">
        <v>2089</v>
      </c>
      <c r="BT11" s="117" t="s">
        <v>2090</v>
      </c>
      <c r="BU11" s="117" t="s">
        <v>2091</v>
      </c>
      <c r="BV11" s="117" t="s">
        <v>2092</v>
      </c>
      <c r="BW11" s="117" t="s">
        <v>2093</v>
      </c>
      <c r="BX11" s="117" t="s">
        <v>2094</v>
      </c>
      <c r="BY11" s="117" t="s">
        <v>2095</v>
      </c>
      <c r="BZ11" s="117" t="s">
        <v>2096</v>
      </c>
      <c r="CA11" s="117" t="s">
        <v>2097</v>
      </c>
      <c r="CB11" s="117" t="s">
        <v>2098</v>
      </c>
      <c r="CC11" s="117" t="s">
        <v>2099</v>
      </c>
      <c r="CD11" s="117" t="s">
        <v>2100</v>
      </c>
      <c r="CE11" s="117" t="s">
        <v>2101</v>
      </c>
      <c r="CF11" s="117" t="s">
        <v>2102</v>
      </c>
      <c r="CG11" s="117" t="s">
        <v>2103</v>
      </c>
      <c r="CH11" s="117" t="s">
        <v>2104</v>
      </c>
      <c r="CI11" s="117" t="s">
        <v>2105</v>
      </c>
      <c r="CJ11" s="117" t="s">
        <v>2106</v>
      </c>
      <c r="CK11" s="117" t="s">
        <v>2107</v>
      </c>
      <c r="CL11" s="117" t="s">
        <v>2108</v>
      </c>
      <c r="CM11" s="117" t="s">
        <v>2109</v>
      </c>
    </row>
    <row r="12" spans="1:91" x14ac:dyDescent="0.25">
      <c r="A12" s="119"/>
      <c r="B12" s="117" t="s">
        <v>238</v>
      </c>
      <c r="C12" s="117" t="s">
        <v>262</v>
      </c>
      <c r="D12" s="117" t="s">
        <v>287</v>
      </c>
      <c r="E12" s="117" t="s">
        <v>312</v>
      </c>
      <c r="F12" s="117" t="s">
        <v>337</v>
      </c>
      <c r="G12" s="117" t="s">
        <v>362</v>
      </c>
      <c r="H12" s="117" t="s">
        <v>387</v>
      </c>
      <c r="I12" s="117" t="s">
        <v>610</v>
      </c>
      <c r="J12" s="117" t="s">
        <v>611</v>
      </c>
      <c r="K12" s="117" t="s">
        <v>612</v>
      </c>
      <c r="L12" s="117" t="s">
        <v>613</v>
      </c>
      <c r="M12" s="117" t="s">
        <v>614</v>
      </c>
      <c r="N12" s="117" t="s">
        <v>615</v>
      </c>
      <c r="O12" s="117" t="s">
        <v>616</v>
      </c>
      <c r="P12" s="117" t="s">
        <v>617</v>
      </c>
      <c r="Q12" s="117" t="s">
        <v>618</v>
      </c>
      <c r="R12" s="117" t="s">
        <v>619</v>
      </c>
      <c r="S12" s="117" t="s">
        <v>620</v>
      </c>
      <c r="T12" s="117" t="s">
        <v>621</v>
      </c>
      <c r="U12" s="117" t="s">
        <v>622</v>
      </c>
      <c r="V12" s="117" t="s">
        <v>623</v>
      </c>
      <c r="W12" s="117" t="s">
        <v>624</v>
      </c>
      <c r="X12" s="117" t="s">
        <v>625</v>
      </c>
      <c r="Y12" s="117" t="s">
        <v>626</v>
      </c>
      <c r="Z12" s="117" t="s">
        <v>627</v>
      </c>
      <c r="AA12" s="117" t="s">
        <v>628</v>
      </c>
      <c r="AB12" s="117" t="s">
        <v>629</v>
      </c>
      <c r="AC12" s="117" t="s">
        <v>630</v>
      </c>
      <c r="AD12" s="117" t="s">
        <v>631</v>
      </c>
      <c r="AE12" s="117" t="s">
        <v>632</v>
      </c>
      <c r="AF12" s="117" t="s">
        <v>1062</v>
      </c>
      <c r="AG12" s="117" t="s">
        <v>1063</v>
      </c>
      <c r="AH12" s="117" t="s">
        <v>1064</v>
      </c>
      <c r="AI12" s="117" t="s">
        <v>1382</v>
      </c>
      <c r="AJ12" s="117" t="s">
        <v>1383</v>
      </c>
      <c r="AK12" s="117" t="s">
        <v>1384</v>
      </c>
      <c r="AL12" s="117" t="s">
        <v>1385</v>
      </c>
      <c r="AM12" s="117" t="s">
        <v>1386</v>
      </c>
      <c r="AN12" s="117" t="s">
        <v>1387</v>
      </c>
      <c r="AO12" s="117" t="s">
        <v>1388</v>
      </c>
      <c r="AP12" s="117" t="s">
        <v>1389</v>
      </c>
      <c r="AQ12" s="117" t="s">
        <v>1390</v>
      </c>
      <c r="AR12" s="117" t="s">
        <v>1391</v>
      </c>
      <c r="AS12" s="117" t="s">
        <v>1392</v>
      </c>
      <c r="AT12" s="117" t="s">
        <v>1393</v>
      </c>
      <c r="AU12" s="117" t="s">
        <v>1394</v>
      </c>
      <c r="AV12" s="117" t="s">
        <v>1395</v>
      </c>
      <c r="AW12" s="117" t="s">
        <v>1396</v>
      </c>
      <c r="AX12" s="117" t="s">
        <v>1397</v>
      </c>
      <c r="AY12" s="117" t="s">
        <v>1398</v>
      </c>
      <c r="AZ12" s="117" t="s">
        <v>1399</v>
      </c>
      <c r="BA12" s="117" t="s">
        <v>1400</v>
      </c>
      <c r="BB12" s="117" t="s">
        <v>1401</v>
      </c>
      <c r="BC12" s="117" t="s">
        <v>1402</v>
      </c>
      <c r="BD12" s="117" t="s">
        <v>1403</v>
      </c>
      <c r="BE12" s="117" t="s">
        <v>1404</v>
      </c>
      <c r="BF12" s="117" t="s">
        <v>1405</v>
      </c>
      <c r="BG12" s="117" t="s">
        <v>1406</v>
      </c>
      <c r="BH12" s="117" t="s">
        <v>1407</v>
      </c>
      <c r="BI12" s="117" t="s">
        <v>1408</v>
      </c>
      <c r="BJ12" s="117" t="s">
        <v>1409</v>
      </c>
      <c r="BK12" s="117" t="s">
        <v>1410</v>
      </c>
      <c r="BL12" s="117" t="s">
        <v>1411</v>
      </c>
      <c r="BM12" s="117" t="s">
        <v>1412</v>
      </c>
      <c r="BN12" s="117" t="s">
        <v>1413</v>
      </c>
      <c r="BO12" s="117" t="s">
        <v>1414</v>
      </c>
      <c r="BP12" s="117" t="s">
        <v>1415</v>
      </c>
      <c r="BQ12" s="117" t="s">
        <v>2110</v>
      </c>
      <c r="BR12" s="117" t="s">
        <v>2111</v>
      </c>
      <c r="BS12" s="117" t="s">
        <v>2112</v>
      </c>
      <c r="BT12" s="117" t="s">
        <v>2113</v>
      </c>
      <c r="BU12" s="117" t="s">
        <v>2114</v>
      </c>
      <c r="BV12" s="117" t="s">
        <v>2115</v>
      </c>
      <c r="BW12" s="117" t="s">
        <v>2116</v>
      </c>
      <c r="BX12" s="117" t="s">
        <v>2117</v>
      </c>
      <c r="BY12" s="117" t="s">
        <v>2118</v>
      </c>
      <c r="BZ12" s="117" t="s">
        <v>2119</v>
      </c>
      <c r="CA12" s="117" t="s">
        <v>2120</v>
      </c>
      <c r="CB12" s="117" t="s">
        <v>2121</v>
      </c>
      <c r="CC12" s="117" t="s">
        <v>2122</v>
      </c>
      <c r="CD12" s="117" t="s">
        <v>2123</v>
      </c>
      <c r="CE12" s="117" t="s">
        <v>2124</v>
      </c>
      <c r="CF12" s="117" t="s">
        <v>2125</v>
      </c>
      <c r="CG12" s="117" t="s">
        <v>2126</v>
      </c>
      <c r="CH12" s="117" t="s">
        <v>2127</v>
      </c>
      <c r="CI12" s="117" t="s">
        <v>2128</v>
      </c>
      <c r="CJ12" s="117" t="s">
        <v>2129</v>
      </c>
      <c r="CK12" s="117" t="s">
        <v>2130</v>
      </c>
      <c r="CL12" s="117" t="s">
        <v>2131</v>
      </c>
      <c r="CM12" s="117" t="s">
        <v>2132</v>
      </c>
    </row>
    <row r="13" spans="1:91" x14ac:dyDescent="0.25">
      <c r="A13" s="119"/>
      <c r="B13" s="117" t="s">
        <v>237</v>
      </c>
      <c r="C13" s="117" t="s">
        <v>263</v>
      </c>
      <c r="D13" s="117" t="s">
        <v>288</v>
      </c>
      <c r="E13" s="117" t="s">
        <v>313</v>
      </c>
      <c r="F13" s="117" t="s">
        <v>338</v>
      </c>
      <c r="G13" s="117" t="s">
        <v>363</v>
      </c>
      <c r="H13" s="117" t="s">
        <v>388</v>
      </c>
      <c r="I13" s="117" t="s">
        <v>633</v>
      </c>
      <c r="J13" s="117" t="s">
        <v>634</v>
      </c>
      <c r="K13" s="117" t="s">
        <v>635</v>
      </c>
      <c r="L13" s="117" t="s">
        <v>636</v>
      </c>
      <c r="M13" s="117" t="s">
        <v>637</v>
      </c>
      <c r="N13" s="117" t="s">
        <v>638</v>
      </c>
      <c r="O13" s="117" t="s">
        <v>639</v>
      </c>
      <c r="P13" s="117" t="s">
        <v>640</v>
      </c>
      <c r="Q13" s="117" t="s">
        <v>641</v>
      </c>
      <c r="R13" s="117" t="s">
        <v>642</v>
      </c>
      <c r="S13" s="117" t="s">
        <v>643</v>
      </c>
      <c r="T13" s="117" t="s">
        <v>644</v>
      </c>
      <c r="U13" s="117" t="s">
        <v>645</v>
      </c>
      <c r="V13" s="117" t="s">
        <v>646</v>
      </c>
      <c r="W13" s="117" t="s">
        <v>647</v>
      </c>
      <c r="X13" s="117" t="s">
        <v>648</v>
      </c>
      <c r="Y13" s="117" t="s">
        <v>649</v>
      </c>
      <c r="Z13" s="117" t="s">
        <v>650</v>
      </c>
      <c r="AA13" s="117" t="s">
        <v>651</v>
      </c>
      <c r="AB13" s="117" t="s">
        <v>652</v>
      </c>
      <c r="AC13" s="117" t="s">
        <v>653</v>
      </c>
      <c r="AD13" s="117" t="s">
        <v>654</v>
      </c>
      <c r="AE13" s="117" t="s">
        <v>655</v>
      </c>
      <c r="AF13" s="117" t="s">
        <v>1065</v>
      </c>
      <c r="AG13" s="117" t="s">
        <v>1066</v>
      </c>
      <c r="AH13" s="117" t="s">
        <v>1067</v>
      </c>
      <c r="AI13" s="117" t="s">
        <v>1416</v>
      </c>
      <c r="AJ13" s="117" t="s">
        <v>1417</v>
      </c>
      <c r="AK13" s="117" t="s">
        <v>1418</v>
      </c>
      <c r="AL13" s="117" t="s">
        <v>1419</v>
      </c>
      <c r="AM13" s="117" t="s">
        <v>1420</v>
      </c>
      <c r="AN13" s="117" t="s">
        <v>1421</v>
      </c>
      <c r="AO13" s="117" t="s">
        <v>1422</v>
      </c>
      <c r="AP13" s="117" t="s">
        <v>1423</v>
      </c>
      <c r="AQ13" s="117" t="s">
        <v>1424</v>
      </c>
      <c r="AR13" s="117" t="s">
        <v>1425</v>
      </c>
      <c r="AS13" s="117" t="s">
        <v>1426</v>
      </c>
      <c r="AT13" s="117" t="s">
        <v>1427</v>
      </c>
      <c r="AU13" s="117" t="s">
        <v>1428</v>
      </c>
      <c r="AV13" s="117" t="s">
        <v>1429</v>
      </c>
      <c r="AW13" s="117" t="s">
        <v>1430</v>
      </c>
      <c r="AX13" s="117" t="s">
        <v>1431</v>
      </c>
      <c r="AY13" s="117" t="s">
        <v>1432</v>
      </c>
      <c r="AZ13" s="117" t="s">
        <v>1433</v>
      </c>
      <c r="BA13" s="117" t="s">
        <v>1434</v>
      </c>
      <c r="BB13" s="117" t="s">
        <v>1435</v>
      </c>
      <c r="BC13" s="117" t="s">
        <v>1436</v>
      </c>
      <c r="BD13" s="117" t="s">
        <v>1437</v>
      </c>
      <c r="BE13" s="117" t="s">
        <v>1438</v>
      </c>
      <c r="BF13" s="117" t="s">
        <v>1439</v>
      </c>
      <c r="BG13" s="117" t="s">
        <v>1440</v>
      </c>
      <c r="BH13" s="117" t="s">
        <v>1441</v>
      </c>
      <c r="BI13" s="117" t="s">
        <v>1442</v>
      </c>
      <c r="BJ13" s="117" t="s">
        <v>1443</v>
      </c>
      <c r="BK13" s="117" t="s">
        <v>1444</v>
      </c>
      <c r="BL13" s="117" t="s">
        <v>1445</v>
      </c>
      <c r="BM13" s="117" t="s">
        <v>1446</v>
      </c>
      <c r="BN13" s="117" t="s">
        <v>1447</v>
      </c>
      <c r="BO13" s="117" t="s">
        <v>1448</v>
      </c>
      <c r="BP13" s="117" t="s">
        <v>1449</v>
      </c>
      <c r="BQ13" s="117" t="s">
        <v>2133</v>
      </c>
      <c r="BR13" s="117" t="s">
        <v>2134</v>
      </c>
      <c r="BS13" s="117" t="s">
        <v>2135</v>
      </c>
      <c r="BT13" s="117" t="s">
        <v>2136</v>
      </c>
      <c r="BU13" s="117" t="s">
        <v>2137</v>
      </c>
      <c r="BV13" s="117" t="s">
        <v>2138</v>
      </c>
      <c r="BW13" s="117" t="s">
        <v>2139</v>
      </c>
      <c r="BX13" s="117" t="s">
        <v>2140</v>
      </c>
      <c r="BY13" s="117" t="s">
        <v>2141</v>
      </c>
      <c r="BZ13" s="117" t="s">
        <v>2142</v>
      </c>
      <c r="CA13" s="117" t="s">
        <v>2143</v>
      </c>
      <c r="CB13" s="117" t="s">
        <v>2144</v>
      </c>
      <c r="CC13" s="117" t="s">
        <v>2145</v>
      </c>
      <c r="CD13" s="117" t="s">
        <v>2146</v>
      </c>
      <c r="CE13" s="117" t="s">
        <v>2147</v>
      </c>
      <c r="CF13" s="117" t="s">
        <v>2148</v>
      </c>
      <c r="CG13" s="117" t="s">
        <v>2149</v>
      </c>
      <c r="CH13" s="117" t="s">
        <v>2150</v>
      </c>
      <c r="CI13" s="117" t="s">
        <v>2151</v>
      </c>
      <c r="CJ13" s="117" t="s">
        <v>2152</v>
      </c>
      <c r="CK13" s="117" t="s">
        <v>2153</v>
      </c>
      <c r="CL13" s="117" t="s">
        <v>2154</v>
      </c>
      <c r="CM13" s="117" t="s">
        <v>2155</v>
      </c>
    </row>
    <row r="14" spans="1:91" x14ac:dyDescent="0.25">
      <c r="A14" s="119"/>
      <c r="B14" s="117" t="s">
        <v>236</v>
      </c>
      <c r="C14" s="117" t="s">
        <v>264</v>
      </c>
      <c r="D14" s="117" t="s">
        <v>289</v>
      </c>
      <c r="E14" s="117" t="s">
        <v>314</v>
      </c>
      <c r="F14" s="117" t="s">
        <v>339</v>
      </c>
      <c r="G14" s="117" t="s">
        <v>364</v>
      </c>
      <c r="H14" s="117" t="s">
        <v>389</v>
      </c>
      <c r="I14" s="117" t="s">
        <v>656</v>
      </c>
      <c r="J14" s="117" t="s">
        <v>657</v>
      </c>
      <c r="K14" s="117" t="s">
        <v>658</v>
      </c>
      <c r="L14" s="117" t="s">
        <v>659</v>
      </c>
      <c r="M14" s="117" t="s">
        <v>660</v>
      </c>
      <c r="N14" s="117" t="s">
        <v>661</v>
      </c>
      <c r="O14" s="117" t="s">
        <v>662</v>
      </c>
      <c r="P14" s="117" t="s">
        <v>663</v>
      </c>
      <c r="Q14" s="117" t="s">
        <v>664</v>
      </c>
      <c r="R14" s="117" t="s">
        <v>665</v>
      </c>
      <c r="S14" s="117" t="s">
        <v>666</v>
      </c>
      <c r="T14" s="117" t="s">
        <v>667</v>
      </c>
      <c r="U14" s="117" t="s">
        <v>668</v>
      </c>
      <c r="V14" s="117" t="s">
        <v>669</v>
      </c>
      <c r="W14" s="117" t="s">
        <v>670</v>
      </c>
      <c r="X14" s="117" t="s">
        <v>671</v>
      </c>
      <c r="Y14" s="117" t="s">
        <v>672</v>
      </c>
      <c r="Z14" s="117" t="s">
        <v>673</v>
      </c>
      <c r="AA14" s="117" t="s">
        <v>674</v>
      </c>
      <c r="AB14" s="117" t="s">
        <v>675</v>
      </c>
      <c r="AC14" s="117" t="s">
        <v>676</v>
      </c>
      <c r="AD14" s="117" t="s">
        <v>677</v>
      </c>
      <c r="AE14" s="117" t="s">
        <v>678</v>
      </c>
      <c r="AF14" s="117" t="s">
        <v>1068</v>
      </c>
      <c r="AG14" s="117" t="s">
        <v>1069</v>
      </c>
      <c r="AH14" s="117" t="s">
        <v>1070</v>
      </c>
      <c r="AI14" s="117" t="s">
        <v>1450</v>
      </c>
      <c r="AJ14" s="117" t="s">
        <v>1451</v>
      </c>
      <c r="AK14" s="117" t="s">
        <v>1452</v>
      </c>
      <c r="AL14" s="117" t="s">
        <v>1453</v>
      </c>
      <c r="AM14" s="117" t="s">
        <v>1454</v>
      </c>
      <c r="AN14" s="117" t="s">
        <v>1455</v>
      </c>
      <c r="AO14" s="117" t="s">
        <v>1456</v>
      </c>
      <c r="AP14" s="117" t="s">
        <v>1457</v>
      </c>
      <c r="AQ14" s="117" t="s">
        <v>1458</v>
      </c>
      <c r="AR14" s="117" t="s">
        <v>1459</v>
      </c>
      <c r="AS14" s="117" t="s">
        <v>1460</v>
      </c>
      <c r="AT14" s="117" t="s">
        <v>1461</v>
      </c>
      <c r="AU14" s="117" t="s">
        <v>1462</v>
      </c>
      <c r="AV14" s="117" t="s">
        <v>1463</v>
      </c>
      <c r="AW14" s="117" t="s">
        <v>1464</v>
      </c>
      <c r="AX14" s="117" t="s">
        <v>1465</v>
      </c>
      <c r="AY14" s="117" t="s">
        <v>1466</v>
      </c>
      <c r="AZ14" s="117" t="s">
        <v>1467</v>
      </c>
      <c r="BA14" s="117" t="s">
        <v>1468</v>
      </c>
      <c r="BB14" s="117" t="s">
        <v>1469</v>
      </c>
      <c r="BC14" s="117" t="s">
        <v>1470</v>
      </c>
      <c r="BD14" s="117" t="s">
        <v>1471</v>
      </c>
      <c r="BE14" s="117" t="s">
        <v>1472</v>
      </c>
      <c r="BF14" s="117" t="s">
        <v>1473</v>
      </c>
      <c r="BG14" s="117" t="s">
        <v>1474</v>
      </c>
      <c r="BH14" s="117" t="s">
        <v>1475</v>
      </c>
      <c r="BI14" s="117" t="s">
        <v>1476</v>
      </c>
      <c r="BJ14" s="117" t="s">
        <v>1477</v>
      </c>
      <c r="BK14" s="117" t="s">
        <v>1478</v>
      </c>
      <c r="BL14" s="117" t="s">
        <v>1479</v>
      </c>
      <c r="BM14" s="117" t="s">
        <v>1480</v>
      </c>
      <c r="BN14" s="117" t="s">
        <v>1481</v>
      </c>
      <c r="BO14" s="117" t="s">
        <v>1482</v>
      </c>
      <c r="BP14" s="117" t="s">
        <v>1483</v>
      </c>
      <c r="BQ14" s="117" t="s">
        <v>2156</v>
      </c>
      <c r="BR14" s="117" t="s">
        <v>2157</v>
      </c>
      <c r="BS14" s="117" t="s">
        <v>2158</v>
      </c>
      <c r="BT14" s="117" t="s">
        <v>2159</v>
      </c>
      <c r="BU14" s="117" t="s">
        <v>2160</v>
      </c>
      <c r="BV14" s="117" t="s">
        <v>2161</v>
      </c>
      <c r="BW14" s="117" t="s">
        <v>2162</v>
      </c>
      <c r="BX14" s="117" t="s">
        <v>2163</v>
      </c>
      <c r="BY14" s="117" t="s">
        <v>2164</v>
      </c>
      <c r="BZ14" s="117" t="s">
        <v>2165</v>
      </c>
      <c r="CA14" s="117" t="s">
        <v>2166</v>
      </c>
      <c r="CB14" s="117" t="s">
        <v>2167</v>
      </c>
      <c r="CC14" s="117" t="s">
        <v>2168</v>
      </c>
      <c r="CD14" s="117" t="s">
        <v>2169</v>
      </c>
      <c r="CE14" s="117" t="s">
        <v>2170</v>
      </c>
      <c r="CF14" s="117" t="s">
        <v>2171</v>
      </c>
      <c r="CG14" s="117" t="s">
        <v>2172</v>
      </c>
      <c r="CH14" s="117" t="s">
        <v>2173</v>
      </c>
      <c r="CI14" s="117" t="s">
        <v>2174</v>
      </c>
      <c r="CJ14" s="117" t="s">
        <v>2175</v>
      </c>
      <c r="CK14" s="117" t="s">
        <v>2176</v>
      </c>
      <c r="CL14" s="117" t="s">
        <v>2177</v>
      </c>
      <c r="CM14" s="117" t="s">
        <v>2178</v>
      </c>
    </row>
    <row r="15" spans="1:91" x14ac:dyDescent="0.25">
      <c r="A15" s="119"/>
      <c r="B15" s="117" t="s">
        <v>235</v>
      </c>
      <c r="C15" s="117" t="s">
        <v>265</v>
      </c>
      <c r="D15" s="117" t="s">
        <v>290</v>
      </c>
      <c r="E15" s="117" t="s">
        <v>315</v>
      </c>
      <c r="F15" s="117" t="s">
        <v>340</v>
      </c>
      <c r="G15" s="117" t="s">
        <v>365</v>
      </c>
      <c r="H15" s="117" t="s">
        <v>390</v>
      </c>
      <c r="I15" s="117" t="s">
        <v>679</v>
      </c>
      <c r="J15" s="117" t="s">
        <v>680</v>
      </c>
      <c r="K15" s="117" t="s">
        <v>681</v>
      </c>
      <c r="L15" s="117" t="s">
        <v>682</v>
      </c>
      <c r="M15" s="117" t="s">
        <v>683</v>
      </c>
      <c r="N15" s="117" t="s">
        <v>684</v>
      </c>
      <c r="O15" s="117" t="s">
        <v>685</v>
      </c>
      <c r="P15" s="117" t="s">
        <v>686</v>
      </c>
      <c r="Q15" s="117" t="s">
        <v>687</v>
      </c>
      <c r="R15" s="117" t="s">
        <v>688</v>
      </c>
      <c r="S15" s="117" t="s">
        <v>689</v>
      </c>
      <c r="T15" s="117" t="s">
        <v>690</v>
      </c>
      <c r="U15" s="117" t="s">
        <v>691</v>
      </c>
      <c r="V15" s="117" t="s">
        <v>692</v>
      </c>
      <c r="W15" s="117" t="s">
        <v>693</v>
      </c>
      <c r="X15" s="117" t="s">
        <v>694</v>
      </c>
      <c r="Y15" s="117" t="s">
        <v>695</v>
      </c>
      <c r="Z15" s="117" t="s">
        <v>696</v>
      </c>
      <c r="AA15" s="117" t="s">
        <v>697</v>
      </c>
      <c r="AB15" s="117" t="s">
        <v>698</v>
      </c>
      <c r="AC15" s="117" t="s">
        <v>699</v>
      </c>
      <c r="AD15" s="117" t="s">
        <v>700</v>
      </c>
      <c r="AE15" s="117" t="s">
        <v>701</v>
      </c>
      <c r="AF15" s="117" t="s">
        <v>1071</v>
      </c>
      <c r="AG15" s="117" t="s">
        <v>1072</v>
      </c>
      <c r="AH15" s="117" t="s">
        <v>1073</v>
      </c>
      <c r="AI15" s="117" t="s">
        <v>1484</v>
      </c>
      <c r="AJ15" s="117" t="s">
        <v>1485</v>
      </c>
      <c r="AK15" s="117" t="s">
        <v>1486</v>
      </c>
      <c r="AL15" s="117" t="s">
        <v>1487</v>
      </c>
      <c r="AM15" s="117" t="s">
        <v>1488</v>
      </c>
      <c r="AN15" s="117" t="s">
        <v>1489</v>
      </c>
      <c r="AO15" s="117" t="s">
        <v>1490</v>
      </c>
      <c r="AP15" s="117" t="s">
        <v>1491</v>
      </c>
      <c r="AQ15" s="117" t="s">
        <v>1492</v>
      </c>
      <c r="AR15" s="117" t="s">
        <v>1493</v>
      </c>
      <c r="AS15" s="117" t="s">
        <v>1494</v>
      </c>
      <c r="AT15" s="117" t="s">
        <v>1495</v>
      </c>
      <c r="AU15" s="117" t="s">
        <v>1496</v>
      </c>
      <c r="AV15" s="117" t="s">
        <v>1497</v>
      </c>
      <c r="AW15" s="117" t="s">
        <v>1498</v>
      </c>
      <c r="AX15" s="117" t="s">
        <v>1499</v>
      </c>
      <c r="AY15" s="117" t="s">
        <v>1500</v>
      </c>
      <c r="AZ15" s="117" t="s">
        <v>1501</v>
      </c>
      <c r="BA15" s="117" t="s">
        <v>1502</v>
      </c>
      <c r="BB15" s="117" t="s">
        <v>1503</v>
      </c>
      <c r="BC15" s="117" t="s">
        <v>1504</v>
      </c>
      <c r="BD15" s="117" t="s">
        <v>1505</v>
      </c>
      <c r="BE15" s="117" t="s">
        <v>1506</v>
      </c>
      <c r="BF15" s="117" t="s">
        <v>1507</v>
      </c>
      <c r="BG15" s="117" t="s">
        <v>1508</v>
      </c>
      <c r="BH15" s="117" t="s">
        <v>1509</v>
      </c>
      <c r="BI15" s="117" t="s">
        <v>1510</v>
      </c>
      <c r="BJ15" s="117" t="s">
        <v>1511</v>
      </c>
      <c r="BK15" s="117" t="s">
        <v>1512</v>
      </c>
      <c r="BL15" s="117" t="s">
        <v>1513</v>
      </c>
      <c r="BM15" s="117" t="s">
        <v>1514</v>
      </c>
      <c r="BN15" s="117" t="s">
        <v>1515</v>
      </c>
      <c r="BO15" s="117" t="s">
        <v>1516</v>
      </c>
      <c r="BP15" s="117" t="s">
        <v>1517</v>
      </c>
      <c r="BQ15" s="117" t="s">
        <v>2179</v>
      </c>
      <c r="BR15" s="117" t="s">
        <v>2180</v>
      </c>
      <c r="BS15" s="117" t="s">
        <v>2181</v>
      </c>
      <c r="BT15" s="117" t="s">
        <v>2182</v>
      </c>
      <c r="BU15" s="117" t="s">
        <v>2183</v>
      </c>
      <c r="BV15" s="117" t="s">
        <v>2184</v>
      </c>
      <c r="BW15" s="117" t="s">
        <v>2185</v>
      </c>
      <c r="BX15" s="117" t="s">
        <v>2186</v>
      </c>
      <c r="BY15" s="117" t="s">
        <v>2187</v>
      </c>
      <c r="BZ15" s="117" t="s">
        <v>2188</v>
      </c>
      <c r="CA15" s="117" t="s">
        <v>2189</v>
      </c>
      <c r="CB15" s="117" t="s">
        <v>2190</v>
      </c>
      <c r="CC15" s="117" t="s">
        <v>2191</v>
      </c>
      <c r="CD15" s="117" t="s">
        <v>2192</v>
      </c>
      <c r="CE15" s="117" t="s">
        <v>2193</v>
      </c>
      <c r="CF15" s="117" t="s">
        <v>2194</v>
      </c>
      <c r="CG15" s="117" t="s">
        <v>2195</v>
      </c>
      <c r="CH15" s="117" t="s">
        <v>2196</v>
      </c>
      <c r="CI15" s="117" t="s">
        <v>2197</v>
      </c>
      <c r="CJ15" s="117" t="s">
        <v>2198</v>
      </c>
      <c r="CK15" s="117" t="s">
        <v>2199</v>
      </c>
      <c r="CL15" s="117" t="s">
        <v>2200</v>
      </c>
      <c r="CM15" s="117" t="s">
        <v>2201</v>
      </c>
    </row>
    <row r="16" spans="1:91" x14ac:dyDescent="0.25">
      <c r="A16" s="119"/>
      <c r="B16" s="117" t="s">
        <v>234</v>
      </c>
      <c r="C16" s="117" t="s">
        <v>266</v>
      </c>
      <c r="D16" s="117" t="s">
        <v>291</v>
      </c>
      <c r="E16" s="117" t="s">
        <v>316</v>
      </c>
      <c r="F16" s="117" t="s">
        <v>341</v>
      </c>
      <c r="G16" s="117" t="s">
        <v>366</v>
      </c>
      <c r="H16" s="117" t="s">
        <v>391</v>
      </c>
      <c r="I16" s="117" t="s">
        <v>702</v>
      </c>
      <c r="J16" s="117" t="s">
        <v>703</v>
      </c>
      <c r="K16" s="117" t="s">
        <v>704</v>
      </c>
      <c r="L16" s="117" t="s">
        <v>705</v>
      </c>
      <c r="M16" s="117" t="s">
        <v>706</v>
      </c>
      <c r="N16" s="117" t="s">
        <v>707</v>
      </c>
      <c r="O16" s="117" t="s">
        <v>708</v>
      </c>
      <c r="P16" s="117" t="s">
        <v>709</v>
      </c>
      <c r="Q16" s="117" t="s">
        <v>710</v>
      </c>
      <c r="R16" s="117" t="s">
        <v>711</v>
      </c>
      <c r="S16" s="117" t="s">
        <v>712</v>
      </c>
      <c r="T16" s="117" t="s">
        <v>713</v>
      </c>
      <c r="U16" s="117" t="s">
        <v>714</v>
      </c>
      <c r="V16" s="117" t="s">
        <v>715</v>
      </c>
      <c r="W16" s="117" t="s">
        <v>716</v>
      </c>
      <c r="X16" s="117" t="s">
        <v>717</v>
      </c>
      <c r="Y16" s="117" t="s">
        <v>718</v>
      </c>
      <c r="Z16" s="117" t="s">
        <v>719</v>
      </c>
      <c r="AA16" s="117" t="s">
        <v>720</v>
      </c>
      <c r="AB16" s="117" t="s">
        <v>721</v>
      </c>
      <c r="AC16" s="117" t="s">
        <v>722</v>
      </c>
      <c r="AD16" s="117" t="s">
        <v>723</v>
      </c>
      <c r="AE16" s="117" t="s">
        <v>724</v>
      </c>
      <c r="AF16" s="117" t="s">
        <v>1074</v>
      </c>
      <c r="AG16" s="117" t="s">
        <v>1075</v>
      </c>
      <c r="AH16" s="117" t="s">
        <v>1076</v>
      </c>
      <c r="AI16" s="117" t="s">
        <v>1518</v>
      </c>
      <c r="AJ16" s="117" t="s">
        <v>1519</v>
      </c>
      <c r="AK16" s="117" t="s">
        <v>1520</v>
      </c>
      <c r="AL16" s="117" t="s">
        <v>1521</v>
      </c>
      <c r="AM16" s="117" t="s">
        <v>1522</v>
      </c>
      <c r="AN16" s="117" t="s">
        <v>1523</v>
      </c>
      <c r="AO16" s="117" t="s">
        <v>1524</v>
      </c>
      <c r="AP16" s="117" t="s">
        <v>1525</v>
      </c>
      <c r="AQ16" s="117" t="s">
        <v>1526</v>
      </c>
      <c r="AR16" s="117" t="s">
        <v>1527</v>
      </c>
      <c r="AS16" s="117" t="s">
        <v>1528</v>
      </c>
      <c r="AT16" s="117" t="s">
        <v>1529</v>
      </c>
      <c r="AU16" s="117" t="s">
        <v>1530</v>
      </c>
      <c r="AV16" s="117" t="s">
        <v>1531</v>
      </c>
      <c r="AW16" s="117" t="s">
        <v>1532</v>
      </c>
      <c r="AX16" s="117" t="s">
        <v>1533</v>
      </c>
      <c r="AY16" s="117" t="s">
        <v>1534</v>
      </c>
      <c r="AZ16" s="117" t="s">
        <v>1535</v>
      </c>
      <c r="BA16" s="117" t="s">
        <v>1536</v>
      </c>
      <c r="BB16" s="117" t="s">
        <v>1537</v>
      </c>
      <c r="BC16" s="117" t="s">
        <v>1538</v>
      </c>
      <c r="BD16" s="117" t="s">
        <v>1539</v>
      </c>
      <c r="BE16" s="117" t="s">
        <v>1540</v>
      </c>
      <c r="BF16" s="117" t="s">
        <v>1541</v>
      </c>
      <c r="BG16" s="117" t="s">
        <v>1542</v>
      </c>
      <c r="BH16" s="117" t="s">
        <v>1543</v>
      </c>
      <c r="BI16" s="117" t="s">
        <v>1544</v>
      </c>
      <c r="BJ16" s="117" t="s">
        <v>1545</v>
      </c>
      <c r="BK16" s="117" t="s">
        <v>1546</v>
      </c>
      <c r="BL16" s="117" t="s">
        <v>1547</v>
      </c>
      <c r="BM16" s="117" t="s">
        <v>1548</v>
      </c>
      <c r="BN16" s="117" t="s">
        <v>1549</v>
      </c>
      <c r="BO16" s="117" t="s">
        <v>1550</v>
      </c>
      <c r="BP16" s="117" t="s">
        <v>1551</v>
      </c>
      <c r="BQ16" s="117" t="s">
        <v>2202</v>
      </c>
      <c r="BR16" s="117" t="s">
        <v>2203</v>
      </c>
      <c r="BS16" s="117" t="s">
        <v>2204</v>
      </c>
      <c r="BT16" s="117" t="s">
        <v>2205</v>
      </c>
      <c r="BU16" s="117" t="s">
        <v>2206</v>
      </c>
      <c r="BV16" s="117" t="s">
        <v>2207</v>
      </c>
      <c r="BW16" s="117" t="s">
        <v>2208</v>
      </c>
      <c r="BX16" s="117" t="s">
        <v>2209</v>
      </c>
      <c r="BY16" s="117" t="s">
        <v>2210</v>
      </c>
      <c r="BZ16" s="117" t="s">
        <v>2211</v>
      </c>
      <c r="CA16" s="117" t="s">
        <v>2212</v>
      </c>
      <c r="CB16" s="117" t="s">
        <v>2213</v>
      </c>
      <c r="CC16" s="117" t="s">
        <v>2214</v>
      </c>
      <c r="CD16" s="117" t="s">
        <v>2215</v>
      </c>
      <c r="CE16" s="117" t="s">
        <v>2216</v>
      </c>
      <c r="CF16" s="117" t="s">
        <v>2217</v>
      </c>
      <c r="CG16" s="117" t="s">
        <v>2218</v>
      </c>
      <c r="CH16" s="117" t="s">
        <v>2219</v>
      </c>
      <c r="CI16" s="117" t="s">
        <v>2220</v>
      </c>
      <c r="CJ16" s="117" t="s">
        <v>2221</v>
      </c>
      <c r="CK16" s="117" t="s">
        <v>2222</v>
      </c>
      <c r="CL16" s="117" t="s">
        <v>2223</v>
      </c>
      <c r="CM16" s="117" t="s">
        <v>2224</v>
      </c>
    </row>
    <row r="17" spans="1:92" x14ac:dyDescent="0.25">
      <c r="A17" s="119"/>
      <c r="B17" s="117" t="s">
        <v>233</v>
      </c>
      <c r="C17" s="117" t="s">
        <v>267</v>
      </c>
      <c r="D17" s="117" t="s">
        <v>292</v>
      </c>
      <c r="E17" s="117" t="s">
        <v>317</v>
      </c>
      <c r="F17" s="117" t="s">
        <v>342</v>
      </c>
      <c r="G17" s="117" t="s">
        <v>367</v>
      </c>
      <c r="H17" s="117" t="s">
        <v>392</v>
      </c>
      <c r="I17" s="117" t="s">
        <v>725</v>
      </c>
      <c r="J17" s="117" t="s">
        <v>726</v>
      </c>
      <c r="K17" s="117" t="s">
        <v>727</v>
      </c>
      <c r="L17" s="117" t="s">
        <v>728</v>
      </c>
      <c r="M17" s="117" t="s">
        <v>729</v>
      </c>
      <c r="N17" s="117" t="s">
        <v>730</v>
      </c>
      <c r="O17" s="117" t="s">
        <v>731</v>
      </c>
      <c r="P17" s="117" t="s">
        <v>732</v>
      </c>
      <c r="Q17" s="117" t="s">
        <v>733</v>
      </c>
      <c r="R17" s="117" t="s">
        <v>734</v>
      </c>
      <c r="S17" s="117" t="s">
        <v>735</v>
      </c>
      <c r="T17" s="117" t="s">
        <v>736</v>
      </c>
      <c r="U17" s="117" t="s">
        <v>737</v>
      </c>
      <c r="V17" s="117" t="s">
        <v>738</v>
      </c>
      <c r="W17" s="117" t="s">
        <v>739</v>
      </c>
      <c r="X17" s="117" t="s">
        <v>740</v>
      </c>
      <c r="Y17" s="117" t="s">
        <v>741</v>
      </c>
      <c r="Z17" s="117" t="s">
        <v>742</v>
      </c>
      <c r="AA17" s="117" t="s">
        <v>743</v>
      </c>
      <c r="AB17" s="117" t="s">
        <v>744</v>
      </c>
      <c r="AC17" s="117" t="s">
        <v>745</v>
      </c>
      <c r="AD17" s="117" t="s">
        <v>746</v>
      </c>
      <c r="AE17" s="117" t="s">
        <v>747</v>
      </c>
      <c r="AF17" s="117" t="s">
        <v>1077</v>
      </c>
      <c r="AG17" s="117" t="s">
        <v>1078</v>
      </c>
      <c r="AH17" s="117" t="s">
        <v>1079</v>
      </c>
      <c r="AI17" s="117" t="s">
        <v>1552</v>
      </c>
      <c r="AJ17" s="117" t="s">
        <v>1553</v>
      </c>
      <c r="AK17" s="117" t="s">
        <v>1554</v>
      </c>
      <c r="AL17" s="117" t="s">
        <v>1555</v>
      </c>
      <c r="AM17" s="117" t="s">
        <v>1556</v>
      </c>
      <c r="AN17" s="117" t="s">
        <v>1557</v>
      </c>
      <c r="AO17" s="117" t="s">
        <v>1558</v>
      </c>
      <c r="AP17" s="117" t="s">
        <v>1559</v>
      </c>
      <c r="AQ17" s="117" t="s">
        <v>1560</v>
      </c>
      <c r="AR17" s="117" t="s">
        <v>1561</v>
      </c>
      <c r="AS17" s="117" t="s">
        <v>1562</v>
      </c>
      <c r="AT17" s="117" t="s">
        <v>1563</v>
      </c>
      <c r="AU17" s="117" t="s">
        <v>1564</v>
      </c>
      <c r="AV17" s="117" t="s">
        <v>1565</v>
      </c>
      <c r="AW17" s="117" t="s">
        <v>1566</v>
      </c>
      <c r="AX17" s="117" t="s">
        <v>1567</v>
      </c>
      <c r="AY17" s="117" t="s">
        <v>1568</v>
      </c>
      <c r="AZ17" s="117" t="s">
        <v>1569</v>
      </c>
      <c r="BA17" s="117" t="s">
        <v>1570</v>
      </c>
      <c r="BB17" s="117" t="s">
        <v>1571</v>
      </c>
      <c r="BC17" s="117" t="s">
        <v>1572</v>
      </c>
      <c r="BD17" s="117" t="s">
        <v>1573</v>
      </c>
      <c r="BE17" s="117" t="s">
        <v>1574</v>
      </c>
      <c r="BF17" s="117" t="s">
        <v>1575</v>
      </c>
      <c r="BG17" s="117" t="s">
        <v>1576</v>
      </c>
      <c r="BH17" s="117" t="s">
        <v>1577</v>
      </c>
      <c r="BI17" s="117" t="s">
        <v>1578</v>
      </c>
      <c r="BJ17" s="117" t="s">
        <v>1579</v>
      </c>
      <c r="BK17" s="117" t="s">
        <v>1580</v>
      </c>
      <c r="BL17" s="117" t="s">
        <v>1581</v>
      </c>
      <c r="BM17" s="117" t="s">
        <v>1582</v>
      </c>
      <c r="BN17" s="117" t="s">
        <v>1583</v>
      </c>
      <c r="BO17" s="117" t="s">
        <v>1584</v>
      </c>
      <c r="BP17" s="117" t="s">
        <v>1585</v>
      </c>
      <c r="BQ17" s="117" t="s">
        <v>2225</v>
      </c>
      <c r="BR17" s="117" t="s">
        <v>2226</v>
      </c>
      <c r="BS17" s="117" t="s">
        <v>2227</v>
      </c>
      <c r="BT17" s="117" t="s">
        <v>2228</v>
      </c>
      <c r="BU17" s="117" t="s">
        <v>2229</v>
      </c>
      <c r="BV17" s="117" t="s">
        <v>2230</v>
      </c>
      <c r="BW17" s="117" t="s">
        <v>2231</v>
      </c>
      <c r="BX17" s="117" t="s">
        <v>2232</v>
      </c>
      <c r="BY17" s="117" t="s">
        <v>2233</v>
      </c>
      <c r="BZ17" s="117" t="s">
        <v>2234</v>
      </c>
      <c r="CA17" s="117" t="s">
        <v>2235</v>
      </c>
      <c r="CB17" s="117" t="s">
        <v>2236</v>
      </c>
      <c r="CC17" s="117" t="s">
        <v>2237</v>
      </c>
      <c r="CD17" s="117" t="s">
        <v>2238</v>
      </c>
      <c r="CE17" s="117" t="s">
        <v>2239</v>
      </c>
      <c r="CF17" s="117" t="s">
        <v>2240</v>
      </c>
      <c r="CG17" s="117" t="s">
        <v>2241</v>
      </c>
      <c r="CH17" s="117" t="s">
        <v>2242</v>
      </c>
      <c r="CI17" s="117" t="s">
        <v>2243</v>
      </c>
      <c r="CJ17" s="117" t="s">
        <v>2244</v>
      </c>
      <c r="CK17" s="117" t="s">
        <v>2245</v>
      </c>
      <c r="CL17" s="117" t="s">
        <v>2246</v>
      </c>
      <c r="CM17" s="117" t="s">
        <v>2247</v>
      </c>
    </row>
    <row r="18" spans="1:92" x14ac:dyDescent="0.25">
      <c r="A18" s="119"/>
      <c r="B18" s="117" t="s">
        <v>232</v>
      </c>
      <c r="C18" s="117" t="s">
        <v>268</v>
      </c>
      <c r="D18" s="117" t="s">
        <v>293</v>
      </c>
      <c r="E18" s="117" t="s">
        <v>318</v>
      </c>
      <c r="F18" s="117" t="s">
        <v>343</v>
      </c>
      <c r="G18" s="117" t="s">
        <v>368</v>
      </c>
      <c r="H18" s="117" t="s">
        <v>393</v>
      </c>
      <c r="I18" s="117" t="s">
        <v>748</v>
      </c>
      <c r="J18" s="117" t="s">
        <v>749</v>
      </c>
      <c r="K18" s="117" t="s">
        <v>750</v>
      </c>
      <c r="L18" s="117" t="s">
        <v>751</v>
      </c>
      <c r="M18" s="117" t="s">
        <v>752</v>
      </c>
      <c r="N18" s="117" t="s">
        <v>753</v>
      </c>
      <c r="O18" s="117" t="s">
        <v>754</v>
      </c>
      <c r="P18" s="117" t="s">
        <v>755</v>
      </c>
      <c r="Q18" s="117" t="s">
        <v>756</v>
      </c>
      <c r="R18" s="117" t="s">
        <v>757</v>
      </c>
      <c r="S18" s="117" t="s">
        <v>758</v>
      </c>
      <c r="T18" s="117" t="s">
        <v>759</v>
      </c>
      <c r="U18" s="117" t="s">
        <v>760</v>
      </c>
      <c r="V18" s="117" t="s">
        <v>761</v>
      </c>
      <c r="W18" s="117" t="s">
        <v>762</v>
      </c>
      <c r="X18" s="117" t="s">
        <v>763</v>
      </c>
      <c r="Y18" s="117" t="s">
        <v>764</v>
      </c>
      <c r="Z18" s="117" t="s">
        <v>765</v>
      </c>
      <c r="AA18" s="117" t="s">
        <v>766</v>
      </c>
      <c r="AB18" s="117" t="s">
        <v>767</v>
      </c>
      <c r="AC18" s="117" t="s">
        <v>768</v>
      </c>
      <c r="AD18" s="117" t="s">
        <v>769</v>
      </c>
      <c r="AE18" s="117" t="s">
        <v>770</v>
      </c>
      <c r="AF18" s="117" t="s">
        <v>1080</v>
      </c>
      <c r="AG18" s="117" t="s">
        <v>1081</v>
      </c>
      <c r="AH18" s="117" t="s">
        <v>1082</v>
      </c>
      <c r="AI18" s="117" t="s">
        <v>1586</v>
      </c>
      <c r="AJ18" s="117" t="s">
        <v>1587</v>
      </c>
      <c r="AK18" s="117" t="s">
        <v>1588</v>
      </c>
      <c r="AL18" s="117" t="s">
        <v>1589</v>
      </c>
      <c r="AM18" s="117" t="s">
        <v>1590</v>
      </c>
      <c r="AN18" s="117" t="s">
        <v>1591</v>
      </c>
      <c r="AO18" s="117" t="s">
        <v>1592</v>
      </c>
      <c r="AP18" s="117" t="s">
        <v>1593</v>
      </c>
      <c r="AQ18" s="117" t="s">
        <v>1594</v>
      </c>
      <c r="AR18" s="117" t="s">
        <v>1595</v>
      </c>
      <c r="AS18" s="117" t="s">
        <v>1596</v>
      </c>
      <c r="AT18" s="117" t="s">
        <v>1597</v>
      </c>
      <c r="AU18" s="117" t="s">
        <v>1598</v>
      </c>
      <c r="AV18" s="117" t="s">
        <v>1599</v>
      </c>
      <c r="AW18" s="117" t="s">
        <v>1600</v>
      </c>
      <c r="AX18" s="117" t="s">
        <v>1601</v>
      </c>
      <c r="AY18" s="117" t="s">
        <v>1602</v>
      </c>
      <c r="AZ18" s="117" t="s">
        <v>1603</v>
      </c>
      <c r="BA18" s="117" t="s">
        <v>1604</v>
      </c>
      <c r="BB18" s="117" t="s">
        <v>1605</v>
      </c>
      <c r="BC18" s="117" t="s">
        <v>1606</v>
      </c>
      <c r="BD18" s="117" t="s">
        <v>1607</v>
      </c>
      <c r="BE18" s="117" t="s">
        <v>1608</v>
      </c>
      <c r="BF18" s="117" t="s">
        <v>1609</v>
      </c>
      <c r="BG18" s="117" t="s">
        <v>1610</v>
      </c>
      <c r="BH18" s="117" t="s">
        <v>1611</v>
      </c>
      <c r="BI18" s="117" t="s">
        <v>1612</v>
      </c>
      <c r="BJ18" s="117" t="s">
        <v>1613</v>
      </c>
      <c r="BK18" s="117" t="s">
        <v>1614</v>
      </c>
      <c r="BL18" s="117" t="s">
        <v>1615</v>
      </c>
      <c r="BM18" s="117" t="s">
        <v>1616</v>
      </c>
      <c r="BN18" s="117" t="s">
        <v>1617</v>
      </c>
      <c r="BO18" s="117" t="s">
        <v>1618</v>
      </c>
      <c r="BP18" s="117" t="s">
        <v>1619</v>
      </c>
      <c r="BQ18" s="117" t="s">
        <v>2248</v>
      </c>
      <c r="BR18" s="117" t="s">
        <v>2249</v>
      </c>
      <c r="BS18" s="117" t="s">
        <v>2250</v>
      </c>
      <c r="BT18" s="117" t="s">
        <v>2251</v>
      </c>
      <c r="BU18" s="117" t="s">
        <v>2252</v>
      </c>
      <c r="BV18" s="117" t="s">
        <v>2253</v>
      </c>
      <c r="BW18" s="117" t="s">
        <v>2254</v>
      </c>
      <c r="BX18" s="117" t="s">
        <v>2255</v>
      </c>
      <c r="BY18" s="117" t="s">
        <v>2256</v>
      </c>
      <c r="BZ18" s="117" t="s">
        <v>2257</v>
      </c>
      <c r="CA18" s="117" t="s">
        <v>2258</v>
      </c>
      <c r="CB18" s="117" t="s">
        <v>2259</v>
      </c>
      <c r="CC18" s="117" t="s">
        <v>2260</v>
      </c>
      <c r="CD18" s="117" t="s">
        <v>2261</v>
      </c>
      <c r="CE18" s="117" t="s">
        <v>2262</v>
      </c>
      <c r="CF18" s="117" t="s">
        <v>2263</v>
      </c>
      <c r="CG18" s="117" t="s">
        <v>2264</v>
      </c>
      <c r="CH18" s="117" t="s">
        <v>2265</v>
      </c>
      <c r="CI18" s="117" t="s">
        <v>2266</v>
      </c>
      <c r="CJ18" s="117" t="s">
        <v>2267</v>
      </c>
      <c r="CK18" s="117" t="s">
        <v>2268</v>
      </c>
      <c r="CL18" s="117" t="s">
        <v>2269</v>
      </c>
      <c r="CM18" s="117" t="s">
        <v>2270</v>
      </c>
    </row>
    <row r="19" spans="1:92" x14ac:dyDescent="0.25">
      <c r="A19" s="119"/>
      <c r="B19" s="117" t="s">
        <v>231</v>
      </c>
      <c r="C19" s="117" t="s">
        <v>269</v>
      </c>
      <c r="D19" s="117" t="s">
        <v>294</v>
      </c>
      <c r="E19" s="117" t="s">
        <v>319</v>
      </c>
      <c r="F19" s="117" t="s">
        <v>344</v>
      </c>
      <c r="G19" s="117" t="s">
        <v>369</v>
      </c>
      <c r="H19" s="117" t="s">
        <v>394</v>
      </c>
      <c r="I19" s="117" t="s">
        <v>771</v>
      </c>
      <c r="J19" s="117" t="s">
        <v>772</v>
      </c>
      <c r="K19" s="117" t="s">
        <v>773</v>
      </c>
      <c r="L19" s="117" t="s">
        <v>774</v>
      </c>
      <c r="M19" s="117" t="s">
        <v>775</v>
      </c>
      <c r="N19" s="117" t="s">
        <v>776</v>
      </c>
      <c r="O19" s="117" t="s">
        <v>777</v>
      </c>
      <c r="P19" s="117" t="s">
        <v>778</v>
      </c>
      <c r="Q19" s="117" t="s">
        <v>779</v>
      </c>
      <c r="R19" s="117" t="s">
        <v>780</v>
      </c>
      <c r="S19" s="117" t="s">
        <v>781</v>
      </c>
      <c r="T19" s="117" t="s">
        <v>782</v>
      </c>
      <c r="U19" s="117" t="s">
        <v>783</v>
      </c>
      <c r="V19" s="117" t="s">
        <v>784</v>
      </c>
      <c r="W19" s="117" t="s">
        <v>785</v>
      </c>
      <c r="X19" s="117" t="s">
        <v>786</v>
      </c>
      <c r="Y19" s="117" t="s">
        <v>787</v>
      </c>
      <c r="Z19" s="117" t="s">
        <v>788</v>
      </c>
      <c r="AA19" s="117" t="s">
        <v>789</v>
      </c>
      <c r="AB19" s="117" t="s">
        <v>790</v>
      </c>
      <c r="AC19" s="117" t="s">
        <v>791</v>
      </c>
      <c r="AD19" s="117" t="s">
        <v>792</v>
      </c>
      <c r="AE19" s="117" t="s">
        <v>793</v>
      </c>
      <c r="AF19" s="117" t="s">
        <v>1083</v>
      </c>
      <c r="AG19" s="117" t="s">
        <v>1084</v>
      </c>
      <c r="AH19" s="117" t="s">
        <v>1085</v>
      </c>
      <c r="AI19" s="117" t="s">
        <v>1620</v>
      </c>
      <c r="AJ19" s="117" t="s">
        <v>1621</v>
      </c>
      <c r="AK19" s="117" t="s">
        <v>1622</v>
      </c>
      <c r="AL19" s="117" t="s">
        <v>1623</v>
      </c>
      <c r="AM19" s="117" t="s">
        <v>1624</v>
      </c>
      <c r="AN19" s="117" t="s">
        <v>1625</v>
      </c>
      <c r="AO19" s="117" t="s">
        <v>1626</v>
      </c>
      <c r="AP19" s="117" t="s">
        <v>1627</v>
      </c>
      <c r="AQ19" s="117" t="s">
        <v>1628</v>
      </c>
      <c r="AR19" s="117" t="s">
        <v>1629</v>
      </c>
      <c r="AS19" s="117" t="s">
        <v>1630</v>
      </c>
      <c r="AT19" s="117" t="s">
        <v>1631</v>
      </c>
      <c r="AU19" s="117" t="s">
        <v>1632</v>
      </c>
      <c r="AV19" s="117" t="s">
        <v>1633</v>
      </c>
      <c r="AW19" s="117" t="s">
        <v>1634</v>
      </c>
      <c r="AX19" s="117" t="s">
        <v>1635</v>
      </c>
      <c r="AY19" s="117" t="s">
        <v>1636</v>
      </c>
      <c r="AZ19" s="117" t="s">
        <v>1637</v>
      </c>
      <c r="BA19" s="117" t="s">
        <v>1638</v>
      </c>
      <c r="BB19" s="117" t="s">
        <v>1639</v>
      </c>
      <c r="BC19" s="117" t="s">
        <v>1640</v>
      </c>
      <c r="BD19" s="117" t="s">
        <v>1641</v>
      </c>
      <c r="BE19" s="117" t="s">
        <v>1642</v>
      </c>
      <c r="BF19" s="117" t="s">
        <v>1643</v>
      </c>
      <c r="BG19" s="117" t="s">
        <v>1644</v>
      </c>
      <c r="BH19" s="117" t="s">
        <v>1645</v>
      </c>
      <c r="BI19" s="117" t="s">
        <v>1646</v>
      </c>
      <c r="BJ19" s="117" t="s">
        <v>1647</v>
      </c>
      <c r="BK19" s="117" t="s">
        <v>1648</v>
      </c>
      <c r="BL19" s="117" t="s">
        <v>1649</v>
      </c>
      <c r="BM19" s="117" t="s">
        <v>1650</v>
      </c>
      <c r="BN19" s="117" t="s">
        <v>1651</v>
      </c>
      <c r="BO19" s="117" t="s">
        <v>1652</v>
      </c>
      <c r="BP19" s="117" t="s">
        <v>1653</v>
      </c>
      <c r="BQ19" s="117" t="s">
        <v>2271</v>
      </c>
      <c r="BR19" s="117" t="s">
        <v>2272</v>
      </c>
      <c r="BS19" s="117" t="s">
        <v>2273</v>
      </c>
      <c r="BT19" s="117" t="s">
        <v>2274</v>
      </c>
      <c r="BU19" s="117" t="s">
        <v>2275</v>
      </c>
      <c r="BV19" s="117" t="s">
        <v>2276</v>
      </c>
      <c r="BW19" s="117" t="s">
        <v>2277</v>
      </c>
      <c r="BX19" s="117" t="s">
        <v>2278</v>
      </c>
      <c r="BY19" s="117" t="s">
        <v>2279</v>
      </c>
      <c r="BZ19" s="117" t="s">
        <v>2280</v>
      </c>
      <c r="CA19" s="117" t="s">
        <v>2281</v>
      </c>
      <c r="CB19" s="117" t="s">
        <v>2282</v>
      </c>
      <c r="CC19" s="117" t="s">
        <v>2283</v>
      </c>
      <c r="CD19" s="117" t="s">
        <v>2284</v>
      </c>
      <c r="CE19" s="117" t="s">
        <v>2285</v>
      </c>
      <c r="CF19" s="117" t="s">
        <v>2286</v>
      </c>
      <c r="CG19" s="117" t="s">
        <v>2287</v>
      </c>
      <c r="CH19" s="117" t="s">
        <v>2288</v>
      </c>
      <c r="CI19" s="117" t="s">
        <v>2289</v>
      </c>
      <c r="CJ19" s="117" t="s">
        <v>2290</v>
      </c>
      <c r="CK19" s="117" t="s">
        <v>2291</v>
      </c>
      <c r="CL19" s="117" t="s">
        <v>2292</v>
      </c>
      <c r="CM19" s="117" t="s">
        <v>2293</v>
      </c>
    </row>
    <row r="20" spans="1:92" x14ac:dyDescent="0.25">
      <c r="A20" s="119"/>
      <c r="B20" s="117" t="s">
        <v>230</v>
      </c>
      <c r="C20" s="117" t="s">
        <v>270</v>
      </c>
      <c r="D20" s="117" t="s">
        <v>295</v>
      </c>
      <c r="E20" s="117" t="s">
        <v>320</v>
      </c>
      <c r="F20" s="117" t="s">
        <v>345</v>
      </c>
      <c r="G20" s="117" t="s">
        <v>370</v>
      </c>
      <c r="H20" s="117" t="s">
        <v>395</v>
      </c>
      <c r="I20" s="117" t="s">
        <v>794</v>
      </c>
      <c r="J20" s="117" t="s">
        <v>795</v>
      </c>
      <c r="K20" s="117" t="s">
        <v>796</v>
      </c>
      <c r="L20" s="117" t="s">
        <v>797</v>
      </c>
      <c r="M20" s="117" t="s">
        <v>798</v>
      </c>
      <c r="N20" s="117" t="s">
        <v>799</v>
      </c>
      <c r="O20" s="117" t="s">
        <v>800</v>
      </c>
      <c r="P20" s="117" t="s">
        <v>801</v>
      </c>
      <c r="Q20" s="117" t="s">
        <v>802</v>
      </c>
      <c r="R20" s="117" t="s">
        <v>803</v>
      </c>
      <c r="S20" s="117" t="s">
        <v>804</v>
      </c>
      <c r="T20" s="117" t="s">
        <v>805</v>
      </c>
      <c r="U20" s="117" t="s">
        <v>806</v>
      </c>
      <c r="V20" s="117" t="s">
        <v>807</v>
      </c>
      <c r="W20" s="117" t="s">
        <v>808</v>
      </c>
      <c r="X20" s="117" t="s">
        <v>809</v>
      </c>
      <c r="Y20" s="117" t="s">
        <v>810</v>
      </c>
      <c r="Z20" s="117" t="s">
        <v>811</v>
      </c>
      <c r="AA20" s="117" t="s">
        <v>812</v>
      </c>
      <c r="AB20" s="117" t="s">
        <v>813</v>
      </c>
      <c r="AC20" s="117" t="s">
        <v>814</v>
      </c>
      <c r="AD20" s="117" t="s">
        <v>815</v>
      </c>
      <c r="AE20" s="117" t="s">
        <v>816</v>
      </c>
      <c r="AF20" s="117" t="s">
        <v>1086</v>
      </c>
      <c r="AG20" s="117" t="s">
        <v>1087</v>
      </c>
      <c r="AH20" s="117" t="s">
        <v>1088</v>
      </c>
      <c r="AI20" s="117" t="s">
        <v>1654</v>
      </c>
      <c r="AJ20" s="117" t="s">
        <v>1655</v>
      </c>
      <c r="AK20" s="117" t="s">
        <v>1656</v>
      </c>
      <c r="AL20" s="117" t="s">
        <v>1657</v>
      </c>
      <c r="AM20" s="117" t="s">
        <v>1658</v>
      </c>
      <c r="AN20" s="117" t="s">
        <v>1659</v>
      </c>
      <c r="AO20" s="117" t="s">
        <v>1660</v>
      </c>
      <c r="AP20" s="117" t="s">
        <v>1661</v>
      </c>
      <c r="AQ20" s="117" t="s">
        <v>1662</v>
      </c>
      <c r="AR20" s="117" t="s">
        <v>1663</v>
      </c>
      <c r="AS20" s="117" t="s">
        <v>1664</v>
      </c>
      <c r="AT20" s="117" t="s">
        <v>1665</v>
      </c>
      <c r="AU20" s="117" t="s">
        <v>1666</v>
      </c>
      <c r="AV20" s="117" t="s">
        <v>1667</v>
      </c>
      <c r="AW20" s="117" t="s">
        <v>1668</v>
      </c>
      <c r="AX20" s="117" t="s">
        <v>1669</v>
      </c>
      <c r="AY20" s="117" t="s">
        <v>1670</v>
      </c>
      <c r="AZ20" s="117" t="s">
        <v>1671</v>
      </c>
      <c r="BA20" s="117" t="s">
        <v>1672</v>
      </c>
      <c r="BB20" s="117" t="s">
        <v>1673</v>
      </c>
      <c r="BC20" s="117" t="s">
        <v>1674</v>
      </c>
      <c r="BD20" s="117" t="s">
        <v>1675</v>
      </c>
      <c r="BE20" s="117" t="s">
        <v>1676</v>
      </c>
      <c r="BF20" s="117" t="s">
        <v>1677</v>
      </c>
      <c r="BG20" s="117" t="s">
        <v>1678</v>
      </c>
      <c r="BH20" s="117" t="s">
        <v>1679</v>
      </c>
      <c r="BI20" s="117" t="s">
        <v>1680</v>
      </c>
      <c r="BJ20" s="117" t="s">
        <v>1681</v>
      </c>
      <c r="BK20" s="117" t="s">
        <v>1682</v>
      </c>
      <c r="BL20" s="117" t="s">
        <v>1683</v>
      </c>
      <c r="BM20" s="117" t="s">
        <v>1684</v>
      </c>
      <c r="BN20" s="117" t="s">
        <v>1685</v>
      </c>
      <c r="BO20" s="117" t="s">
        <v>1686</v>
      </c>
      <c r="BP20" s="117" t="s">
        <v>1687</v>
      </c>
      <c r="BQ20" s="117" t="s">
        <v>2294</v>
      </c>
      <c r="BR20" s="117" t="s">
        <v>2295</v>
      </c>
      <c r="BS20" s="117" t="s">
        <v>2296</v>
      </c>
      <c r="BT20" s="117" t="s">
        <v>2297</v>
      </c>
      <c r="BU20" s="117" t="s">
        <v>2298</v>
      </c>
      <c r="BV20" s="117" t="s">
        <v>2299</v>
      </c>
      <c r="BW20" s="117" t="s">
        <v>2300</v>
      </c>
      <c r="BX20" s="117" t="s">
        <v>2301</v>
      </c>
      <c r="BY20" s="117" t="s">
        <v>2302</v>
      </c>
      <c r="BZ20" s="117" t="s">
        <v>2303</v>
      </c>
      <c r="CA20" s="117" t="s">
        <v>2304</v>
      </c>
      <c r="CB20" s="117" t="s">
        <v>2305</v>
      </c>
      <c r="CC20" s="117" t="s">
        <v>2306</v>
      </c>
      <c r="CD20" s="117" t="s">
        <v>2307</v>
      </c>
      <c r="CE20" s="117" t="s">
        <v>2308</v>
      </c>
      <c r="CF20" s="117" t="s">
        <v>2309</v>
      </c>
      <c r="CG20" s="117" t="s">
        <v>2310</v>
      </c>
      <c r="CH20" s="117" t="s">
        <v>2311</v>
      </c>
      <c r="CI20" s="117" t="s">
        <v>2312</v>
      </c>
      <c r="CJ20" s="117" t="s">
        <v>2313</v>
      </c>
      <c r="CK20" s="117" t="s">
        <v>2314</v>
      </c>
      <c r="CL20" s="117" t="s">
        <v>2315</v>
      </c>
      <c r="CM20" s="117" t="s">
        <v>2316</v>
      </c>
    </row>
    <row r="21" spans="1:92" x14ac:dyDescent="0.25">
      <c r="A21" s="119"/>
      <c r="B21" s="117" t="s">
        <v>229</v>
      </c>
      <c r="C21" s="117" t="s">
        <v>271</v>
      </c>
      <c r="D21" s="117" t="s">
        <v>296</v>
      </c>
      <c r="E21" s="117" t="s">
        <v>321</v>
      </c>
      <c r="F21" s="117" t="s">
        <v>346</v>
      </c>
      <c r="G21" s="117" t="s">
        <v>371</v>
      </c>
      <c r="H21" s="117" t="s">
        <v>396</v>
      </c>
      <c r="I21" s="117" t="s">
        <v>817</v>
      </c>
      <c r="J21" s="117" t="s">
        <v>818</v>
      </c>
      <c r="K21" s="117" t="s">
        <v>819</v>
      </c>
      <c r="L21" s="117" t="s">
        <v>820</v>
      </c>
      <c r="M21" s="117" t="s">
        <v>821</v>
      </c>
      <c r="N21" s="117" t="s">
        <v>822</v>
      </c>
      <c r="O21" s="117" t="s">
        <v>823</v>
      </c>
      <c r="P21" s="117" t="s">
        <v>824</v>
      </c>
      <c r="Q21" s="117" t="s">
        <v>825</v>
      </c>
      <c r="R21" s="117" t="s">
        <v>826</v>
      </c>
      <c r="S21" s="117" t="s">
        <v>827</v>
      </c>
      <c r="T21" s="117" t="s">
        <v>828</v>
      </c>
      <c r="U21" s="117" t="s">
        <v>829</v>
      </c>
      <c r="V21" s="117" t="s">
        <v>830</v>
      </c>
      <c r="W21" s="117" t="s">
        <v>831</v>
      </c>
      <c r="X21" s="117" t="s">
        <v>832</v>
      </c>
      <c r="Y21" s="117" t="s">
        <v>833</v>
      </c>
      <c r="Z21" s="117" t="s">
        <v>834</v>
      </c>
      <c r="AA21" s="117" t="s">
        <v>835</v>
      </c>
      <c r="AB21" s="117" t="s">
        <v>836</v>
      </c>
      <c r="AC21" s="117" t="s">
        <v>837</v>
      </c>
      <c r="AD21" s="117" t="s">
        <v>838</v>
      </c>
      <c r="AE21" s="117" t="s">
        <v>839</v>
      </c>
      <c r="AF21" s="117" t="s">
        <v>1089</v>
      </c>
      <c r="AG21" s="117" t="s">
        <v>1090</v>
      </c>
      <c r="AH21" s="117" t="s">
        <v>1091</v>
      </c>
      <c r="AI21" s="117" t="s">
        <v>1688</v>
      </c>
      <c r="AJ21" s="117" t="s">
        <v>1689</v>
      </c>
      <c r="AK21" s="117" t="s">
        <v>1690</v>
      </c>
      <c r="AL21" s="117" t="s">
        <v>1691</v>
      </c>
      <c r="AM21" s="117" t="s">
        <v>1692</v>
      </c>
      <c r="AN21" s="117" t="s">
        <v>1693</v>
      </c>
      <c r="AO21" s="117" t="s">
        <v>1694</v>
      </c>
      <c r="AP21" s="117" t="s">
        <v>1695</v>
      </c>
      <c r="AQ21" s="117" t="s">
        <v>1696</v>
      </c>
      <c r="AR21" s="117" t="s">
        <v>1697</v>
      </c>
      <c r="AS21" s="117" t="s">
        <v>1698</v>
      </c>
      <c r="AT21" s="117" t="s">
        <v>1699</v>
      </c>
      <c r="AU21" s="117" t="s">
        <v>1700</v>
      </c>
      <c r="AV21" s="117" t="s">
        <v>1701</v>
      </c>
      <c r="AW21" s="117" t="s">
        <v>1702</v>
      </c>
      <c r="AX21" s="117" t="s">
        <v>1703</v>
      </c>
      <c r="AY21" s="117" t="s">
        <v>1704</v>
      </c>
      <c r="AZ21" s="117" t="s">
        <v>1705</v>
      </c>
      <c r="BA21" s="117" t="s">
        <v>1706</v>
      </c>
      <c r="BB21" s="117" t="s">
        <v>1707</v>
      </c>
      <c r="BC21" s="117" t="s">
        <v>1708</v>
      </c>
      <c r="BD21" s="117" t="s">
        <v>1709</v>
      </c>
      <c r="BE21" s="117" t="s">
        <v>1710</v>
      </c>
      <c r="BF21" s="117" t="s">
        <v>1711</v>
      </c>
      <c r="BG21" s="117" t="s">
        <v>1712</v>
      </c>
      <c r="BH21" s="117" t="s">
        <v>1713</v>
      </c>
      <c r="BI21" s="117" t="s">
        <v>1714</v>
      </c>
      <c r="BJ21" s="117" t="s">
        <v>1715</v>
      </c>
      <c r="BK21" s="117" t="s">
        <v>1716</v>
      </c>
      <c r="BL21" s="117" t="s">
        <v>1717</v>
      </c>
      <c r="BM21" s="117" t="s">
        <v>1718</v>
      </c>
      <c r="BN21" s="117" t="s">
        <v>1719</v>
      </c>
      <c r="BO21" s="117" t="s">
        <v>1720</v>
      </c>
      <c r="BP21" s="117" t="s">
        <v>1721</v>
      </c>
      <c r="BQ21" s="117" t="s">
        <v>2317</v>
      </c>
      <c r="BR21" s="117" t="s">
        <v>2318</v>
      </c>
      <c r="BS21" s="117" t="s">
        <v>2319</v>
      </c>
      <c r="BT21" s="117" t="s">
        <v>2320</v>
      </c>
      <c r="BU21" s="117" t="s">
        <v>2321</v>
      </c>
      <c r="BV21" s="117" t="s">
        <v>2322</v>
      </c>
      <c r="BW21" s="117" t="s">
        <v>2323</v>
      </c>
      <c r="BX21" s="117" t="s">
        <v>2324</v>
      </c>
      <c r="BY21" s="117" t="s">
        <v>2325</v>
      </c>
      <c r="BZ21" s="117" t="s">
        <v>2326</v>
      </c>
      <c r="CA21" s="117" t="s">
        <v>2327</v>
      </c>
      <c r="CB21" s="117" t="s">
        <v>2328</v>
      </c>
      <c r="CC21" s="117" t="s">
        <v>2329</v>
      </c>
      <c r="CD21" s="117" t="s">
        <v>2330</v>
      </c>
      <c r="CE21" s="117" t="s">
        <v>2331</v>
      </c>
      <c r="CF21" s="117" t="s">
        <v>2332</v>
      </c>
      <c r="CG21" s="117" t="s">
        <v>2333</v>
      </c>
      <c r="CH21" s="117" t="s">
        <v>2334</v>
      </c>
      <c r="CI21" s="117" t="s">
        <v>2335</v>
      </c>
      <c r="CJ21" s="117" t="s">
        <v>2336</v>
      </c>
      <c r="CK21" s="117" t="s">
        <v>2337</v>
      </c>
      <c r="CL21" s="117" t="s">
        <v>2338</v>
      </c>
      <c r="CM21" s="117" t="s">
        <v>2339</v>
      </c>
    </row>
    <row r="22" spans="1:92" x14ac:dyDescent="0.25">
      <c r="A22" s="119"/>
      <c r="B22" s="117" t="s">
        <v>228</v>
      </c>
      <c r="C22" s="117" t="s">
        <v>272</v>
      </c>
      <c r="D22" s="117" t="s">
        <v>297</v>
      </c>
      <c r="E22" s="117" t="s">
        <v>322</v>
      </c>
      <c r="F22" s="117" t="s">
        <v>347</v>
      </c>
      <c r="G22" s="117" t="s">
        <v>372</v>
      </c>
      <c r="H22" s="117" t="s">
        <v>397</v>
      </c>
      <c r="I22" s="117" t="s">
        <v>840</v>
      </c>
      <c r="J22" s="117" t="s">
        <v>841</v>
      </c>
      <c r="K22" s="117" t="s">
        <v>842</v>
      </c>
      <c r="L22" s="117" t="s">
        <v>843</v>
      </c>
      <c r="M22" s="117" t="s">
        <v>844</v>
      </c>
      <c r="N22" s="117" t="s">
        <v>845</v>
      </c>
      <c r="O22" s="117" t="s">
        <v>846</v>
      </c>
      <c r="P22" s="117" t="s">
        <v>847</v>
      </c>
      <c r="Q22" s="117" t="s">
        <v>848</v>
      </c>
      <c r="R22" s="117" t="s">
        <v>849</v>
      </c>
      <c r="S22" s="117" t="s">
        <v>850</v>
      </c>
      <c r="T22" s="117" t="s">
        <v>851</v>
      </c>
      <c r="U22" s="117" t="s">
        <v>852</v>
      </c>
      <c r="V22" s="117" t="s">
        <v>853</v>
      </c>
      <c r="W22" s="117" t="s">
        <v>854</v>
      </c>
      <c r="X22" s="117" t="s">
        <v>855</v>
      </c>
      <c r="Y22" s="117" t="s">
        <v>856</v>
      </c>
      <c r="Z22" s="117" t="s">
        <v>857</v>
      </c>
      <c r="AA22" s="117" t="s">
        <v>858</v>
      </c>
      <c r="AB22" s="117" t="s">
        <v>859</v>
      </c>
      <c r="AC22" s="117" t="s">
        <v>860</v>
      </c>
      <c r="AD22" s="117" t="s">
        <v>861</v>
      </c>
      <c r="AE22" s="117" t="s">
        <v>862</v>
      </c>
      <c r="AF22" s="117" t="s">
        <v>1092</v>
      </c>
      <c r="AG22" s="117" t="s">
        <v>1093</v>
      </c>
      <c r="AH22" s="117" t="s">
        <v>1094</v>
      </c>
      <c r="AI22" s="117" t="s">
        <v>1722</v>
      </c>
      <c r="AJ22" s="117" t="s">
        <v>1723</v>
      </c>
      <c r="AK22" s="117" t="s">
        <v>1724</v>
      </c>
      <c r="AL22" s="117" t="s">
        <v>1725</v>
      </c>
      <c r="AM22" s="117" t="s">
        <v>1726</v>
      </c>
      <c r="AN22" s="117" t="s">
        <v>1727</v>
      </c>
      <c r="AO22" s="117" t="s">
        <v>1728</v>
      </c>
      <c r="AP22" s="117" t="s">
        <v>1729</v>
      </c>
      <c r="AQ22" s="117" t="s">
        <v>1730</v>
      </c>
      <c r="AR22" s="117" t="s">
        <v>1731</v>
      </c>
      <c r="AS22" s="117" t="s">
        <v>1732</v>
      </c>
      <c r="AT22" s="117" t="s">
        <v>1733</v>
      </c>
      <c r="AU22" s="117" t="s">
        <v>1734</v>
      </c>
      <c r="AV22" s="117" t="s">
        <v>1735</v>
      </c>
      <c r="AW22" s="117" t="s">
        <v>1736</v>
      </c>
      <c r="AX22" s="117" t="s">
        <v>1737</v>
      </c>
      <c r="AY22" s="117" t="s">
        <v>1738</v>
      </c>
      <c r="AZ22" s="117" t="s">
        <v>1739</v>
      </c>
      <c r="BA22" s="117" t="s">
        <v>1740</v>
      </c>
      <c r="BB22" s="117" t="s">
        <v>1741</v>
      </c>
      <c r="BC22" s="117" t="s">
        <v>1742</v>
      </c>
      <c r="BD22" s="117" t="s">
        <v>1743</v>
      </c>
      <c r="BE22" s="117" t="s">
        <v>1744</v>
      </c>
      <c r="BF22" s="117" t="s">
        <v>1745</v>
      </c>
      <c r="BG22" s="117" t="s">
        <v>1746</v>
      </c>
      <c r="BH22" s="117" t="s">
        <v>1747</v>
      </c>
      <c r="BI22" s="117" t="s">
        <v>1748</v>
      </c>
      <c r="BJ22" s="117" t="s">
        <v>1749</v>
      </c>
      <c r="BK22" s="117" t="s">
        <v>1750</v>
      </c>
      <c r="BL22" s="117" t="s">
        <v>1751</v>
      </c>
      <c r="BM22" s="117" t="s">
        <v>1752</v>
      </c>
      <c r="BN22" s="117" t="s">
        <v>1753</v>
      </c>
      <c r="BO22" s="117" t="s">
        <v>1754</v>
      </c>
      <c r="BP22" s="117" t="s">
        <v>1755</v>
      </c>
      <c r="BQ22" s="117" t="s">
        <v>2340</v>
      </c>
      <c r="BR22" s="117" t="s">
        <v>2341</v>
      </c>
      <c r="BS22" s="117" t="s">
        <v>2342</v>
      </c>
      <c r="BT22" s="117" t="s">
        <v>2343</v>
      </c>
      <c r="BU22" s="117" t="s">
        <v>2344</v>
      </c>
      <c r="BV22" s="117" t="s">
        <v>2345</v>
      </c>
      <c r="BW22" s="117" t="s">
        <v>2346</v>
      </c>
      <c r="BX22" s="117" t="s">
        <v>2347</v>
      </c>
      <c r="BY22" s="117" t="s">
        <v>2348</v>
      </c>
      <c r="BZ22" s="117" t="s">
        <v>2349</v>
      </c>
      <c r="CA22" s="117" t="s">
        <v>2350</v>
      </c>
      <c r="CB22" s="117" t="s">
        <v>2351</v>
      </c>
      <c r="CC22" s="117" t="s">
        <v>2352</v>
      </c>
      <c r="CD22" s="117" t="s">
        <v>2353</v>
      </c>
      <c r="CE22" s="117" t="s">
        <v>2354</v>
      </c>
      <c r="CF22" s="117" t="s">
        <v>2355</v>
      </c>
      <c r="CG22" s="117" t="s">
        <v>2356</v>
      </c>
      <c r="CH22" s="117" t="s">
        <v>2357</v>
      </c>
      <c r="CI22" s="117" t="s">
        <v>2358</v>
      </c>
      <c r="CJ22" s="117" t="s">
        <v>2359</v>
      </c>
      <c r="CK22" s="117" t="s">
        <v>2360</v>
      </c>
      <c r="CL22" s="117" t="s">
        <v>2361</v>
      </c>
      <c r="CM22" s="117" t="s">
        <v>2362</v>
      </c>
    </row>
    <row r="23" spans="1:92" x14ac:dyDescent="0.25">
      <c r="A23" s="119"/>
      <c r="B23" s="117" t="s">
        <v>227</v>
      </c>
      <c r="C23" s="117" t="s">
        <v>273</v>
      </c>
      <c r="D23" s="117" t="s">
        <v>298</v>
      </c>
      <c r="E23" s="117" t="s">
        <v>323</v>
      </c>
      <c r="F23" s="117" t="s">
        <v>348</v>
      </c>
      <c r="G23" s="117" t="s">
        <v>373</v>
      </c>
      <c r="H23" s="117" t="s">
        <v>398</v>
      </c>
      <c r="I23" s="117" t="s">
        <v>863</v>
      </c>
      <c r="J23" s="117" t="s">
        <v>864</v>
      </c>
      <c r="K23" s="117" t="s">
        <v>865</v>
      </c>
      <c r="L23" s="117" t="s">
        <v>866</v>
      </c>
      <c r="M23" s="117" t="s">
        <v>867</v>
      </c>
      <c r="N23" s="117" t="s">
        <v>868</v>
      </c>
      <c r="O23" s="117" t="s">
        <v>869</v>
      </c>
      <c r="P23" s="117" t="s">
        <v>870</v>
      </c>
      <c r="Q23" s="117" t="s">
        <v>871</v>
      </c>
      <c r="R23" s="117" t="s">
        <v>872</v>
      </c>
      <c r="S23" s="117" t="s">
        <v>873</v>
      </c>
      <c r="T23" s="117" t="s">
        <v>874</v>
      </c>
      <c r="U23" s="117" t="s">
        <v>875</v>
      </c>
      <c r="V23" s="117" t="s">
        <v>876</v>
      </c>
      <c r="W23" s="117" t="s">
        <v>877</v>
      </c>
      <c r="X23" s="117" t="s">
        <v>878</v>
      </c>
      <c r="Y23" s="117" t="s">
        <v>879</v>
      </c>
      <c r="Z23" s="117" t="s">
        <v>880</v>
      </c>
      <c r="AA23" s="117" t="s">
        <v>881</v>
      </c>
      <c r="AB23" s="117" t="s">
        <v>882</v>
      </c>
      <c r="AC23" s="117" t="s">
        <v>883</v>
      </c>
      <c r="AD23" s="117" t="s">
        <v>884</v>
      </c>
      <c r="AE23" s="117" t="s">
        <v>885</v>
      </c>
      <c r="AF23" s="117" t="s">
        <v>1095</v>
      </c>
      <c r="AG23" s="117" t="s">
        <v>1096</v>
      </c>
      <c r="AH23" s="117" t="s">
        <v>1097</v>
      </c>
      <c r="AI23" s="117" t="s">
        <v>1756</v>
      </c>
      <c r="AJ23" s="117" t="s">
        <v>1757</v>
      </c>
      <c r="AK23" s="117" t="s">
        <v>1758</v>
      </c>
      <c r="AL23" s="117" t="s">
        <v>1759</v>
      </c>
      <c r="AM23" s="117" t="s">
        <v>1760</v>
      </c>
      <c r="AN23" s="117" t="s">
        <v>1761</v>
      </c>
      <c r="AO23" s="117" t="s">
        <v>1762</v>
      </c>
      <c r="AP23" s="117" t="s">
        <v>1763</v>
      </c>
      <c r="AQ23" s="117" t="s">
        <v>1764</v>
      </c>
      <c r="AR23" s="117" t="s">
        <v>1765</v>
      </c>
      <c r="AS23" s="117" t="s">
        <v>1766</v>
      </c>
      <c r="AT23" s="117" t="s">
        <v>1767</v>
      </c>
      <c r="AU23" s="117" t="s">
        <v>1768</v>
      </c>
      <c r="AV23" s="117" t="s">
        <v>1769</v>
      </c>
      <c r="AW23" s="117" t="s">
        <v>1770</v>
      </c>
      <c r="AX23" s="117" t="s">
        <v>1771</v>
      </c>
      <c r="AY23" s="117" t="s">
        <v>1772</v>
      </c>
      <c r="AZ23" s="117" t="s">
        <v>1773</v>
      </c>
      <c r="BA23" s="117" t="s">
        <v>1774</v>
      </c>
      <c r="BB23" s="117" t="s">
        <v>1775</v>
      </c>
      <c r="BC23" s="117" t="s">
        <v>1776</v>
      </c>
      <c r="BD23" s="117" t="s">
        <v>1777</v>
      </c>
      <c r="BE23" s="117" t="s">
        <v>1778</v>
      </c>
      <c r="BF23" s="117" t="s">
        <v>1779</v>
      </c>
      <c r="BG23" s="117" t="s">
        <v>1780</v>
      </c>
      <c r="BH23" s="117" t="s">
        <v>1781</v>
      </c>
      <c r="BI23" s="117" t="s">
        <v>1782</v>
      </c>
      <c r="BJ23" s="117" t="s">
        <v>1783</v>
      </c>
      <c r="BK23" s="117" t="s">
        <v>1784</v>
      </c>
      <c r="BL23" s="117" t="s">
        <v>1785</v>
      </c>
      <c r="BM23" s="117" t="s">
        <v>1786</v>
      </c>
      <c r="BN23" s="117" t="s">
        <v>1787</v>
      </c>
      <c r="BO23" s="117" t="s">
        <v>1788</v>
      </c>
      <c r="BP23" s="117" t="s">
        <v>1789</v>
      </c>
      <c r="BQ23" s="117" t="s">
        <v>2363</v>
      </c>
      <c r="BR23" s="117" t="s">
        <v>2364</v>
      </c>
      <c r="BS23" s="117" t="s">
        <v>2365</v>
      </c>
      <c r="BT23" s="117" t="s">
        <v>2366</v>
      </c>
      <c r="BU23" s="117" t="s">
        <v>2367</v>
      </c>
      <c r="BV23" s="117" t="s">
        <v>2368</v>
      </c>
      <c r="BW23" s="117" t="s">
        <v>2369</v>
      </c>
      <c r="BX23" s="117" t="s">
        <v>2370</v>
      </c>
      <c r="BY23" s="117" t="s">
        <v>2371</v>
      </c>
      <c r="BZ23" s="117" t="s">
        <v>2372</v>
      </c>
      <c r="CA23" s="117" t="s">
        <v>2373</v>
      </c>
      <c r="CB23" s="117" t="s">
        <v>2374</v>
      </c>
      <c r="CC23" s="117" t="s">
        <v>2375</v>
      </c>
      <c r="CD23" s="117" t="s">
        <v>2376</v>
      </c>
      <c r="CE23" s="117" t="s">
        <v>2377</v>
      </c>
      <c r="CF23" s="117" t="s">
        <v>2378</v>
      </c>
      <c r="CG23" s="117" t="s">
        <v>2379</v>
      </c>
      <c r="CH23" s="117" t="s">
        <v>2380</v>
      </c>
      <c r="CI23" s="117" t="s">
        <v>2381</v>
      </c>
      <c r="CJ23" s="117" t="s">
        <v>2382</v>
      </c>
      <c r="CK23" s="117" t="s">
        <v>2383</v>
      </c>
      <c r="CL23" s="117" t="s">
        <v>2384</v>
      </c>
      <c r="CM23" s="117" t="s">
        <v>2385</v>
      </c>
    </row>
    <row r="24" spans="1:92" x14ac:dyDescent="0.25">
      <c r="A24" s="119"/>
      <c r="B24" s="117" t="s">
        <v>226</v>
      </c>
      <c r="C24" s="117" t="s">
        <v>274</v>
      </c>
      <c r="D24" s="117" t="s">
        <v>299</v>
      </c>
      <c r="E24" s="117" t="s">
        <v>324</v>
      </c>
      <c r="F24" s="117" t="s">
        <v>349</v>
      </c>
      <c r="G24" s="117" t="s">
        <v>374</v>
      </c>
      <c r="H24" s="117" t="s">
        <v>399</v>
      </c>
      <c r="I24" s="117" t="s">
        <v>886</v>
      </c>
      <c r="J24" s="117" t="s">
        <v>887</v>
      </c>
      <c r="K24" s="117" t="s">
        <v>888</v>
      </c>
      <c r="L24" s="117" t="s">
        <v>889</v>
      </c>
      <c r="M24" s="117" t="s">
        <v>890</v>
      </c>
      <c r="N24" s="117" t="s">
        <v>891</v>
      </c>
      <c r="O24" s="117" t="s">
        <v>892</v>
      </c>
      <c r="P24" s="117" t="s">
        <v>893</v>
      </c>
      <c r="Q24" s="117" t="s">
        <v>894</v>
      </c>
      <c r="R24" s="117" t="s">
        <v>895</v>
      </c>
      <c r="S24" s="117" t="s">
        <v>896</v>
      </c>
      <c r="T24" s="117" t="s">
        <v>897</v>
      </c>
      <c r="U24" s="117" t="s">
        <v>898</v>
      </c>
      <c r="V24" s="117" t="s">
        <v>899</v>
      </c>
      <c r="W24" s="117" t="s">
        <v>900</v>
      </c>
      <c r="X24" s="117" t="s">
        <v>901</v>
      </c>
      <c r="Y24" s="117" t="s">
        <v>902</v>
      </c>
      <c r="Z24" s="117" t="s">
        <v>903</v>
      </c>
      <c r="AA24" s="117" t="s">
        <v>904</v>
      </c>
      <c r="AB24" s="117" t="s">
        <v>905</v>
      </c>
      <c r="AC24" s="117" t="s">
        <v>906</v>
      </c>
      <c r="AD24" s="117" t="s">
        <v>907</v>
      </c>
      <c r="AE24" s="117" t="s">
        <v>908</v>
      </c>
      <c r="AF24" s="117" t="s">
        <v>1098</v>
      </c>
      <c r="AG24" s="117" t="s">
        <v>1099</v>
      </c>
      <c r="AH24" s="117" t="s">
        <v>1100</v>
      </c>
      <c r="AI24" s="117" t="s">
        <v>1790</v>
      </c>
      <c r="AJ24" s="117" t="s">
        <v>1791</v>
      </c>
      <c r="AK24" s="117" t="s">
        <v>1792</v>
      </c>
      <c r="AL24" s="117" t="s">
        <v>1793</v>
      </c>
      <c r="AM24" s="117" t="s">
        <v>1794</v>
      </c>
      <c r="AN24" s="117" t="s">
        <v>1795</v>
      </c>
      <c r="AO24" s="117" t="s">
        <v>1796</v>
      </c>
      <c r="AP24" s="117" t="s">
        <v>1797</v>
      </c>
      <c r="AQ24" s="117" t="s">
        <v>1798</v>
      </c>
      <c r="AR24" s="117" t="s">
        <v>1799</v>
      </c>
      <c r="AS24" s="117" t="s">
        <v>1800</v>
      </c>
      <c r="AT24" s="117" t="s">
        <v>1801</v>
      </c>
      <c r="AU24" s="117" t="s">
        <v>1802</v>
      </c>
      <c r="AV24" s="117" t="s">
        <v>1803</v>
      </c>
      <c r="AW24" s="117" t="s">
        <v>1804</v>
      </c>
      <c r="AX24" s="117" t="s">
        <v>1805</v>
      </c>
      <c r="AY24" s="117" t="s">
        <v>1806</v>
      </c>
      <c r="AZ24" s="117" t="s">
        <v>1807</v>
      </c>
      <c r="BA24" s="117" t="s">
        <v>1808</v>
      </c>
      <c r="BB24" s="117" t="s">
        <v>1809</v>
      </c>
      <c r="BC24" s="117" t="s">
        <v>1810</v>
      </c>
      <c r="BD24" s="117" t="s">
        <v>1811</v>
      </c>
      <c r="BE24" s="117" t="s">
        <v>1812</v>
      </c>
      <c r="BF24" s="117" t="s">
        <v>1813</v>
      </c>
      <c r="BG24" s="117" t="s">
        <v>1814</v>
      </c>
      <c r="BH24" s="117" t="s">
        <v>1815</v>
      </c>
      <c r="BI24" s="117" t="s">
        <v>1816</v>
      </c>
      <c r="BJ24" s="117" t="s">
        <v>1817</v>
      </c>
      <c r="BK24" s="117" t="s">
        <v>1818</v>
      </c>
      <c r="BL24" s="117" t="s">
        <v>1819</v>
      </c>
      <c r="BM24" s="117" t="s">
        <v>1820</v>
      </c>
      <c r="BN24" s="117" t="s">
        <v>1821</v>
      </c>
      <c r="BO24" s="117" t="s">
        <v>1822</v>
      </c>
      <c r="BP24" s="117" t="s">
        <v>1823</v>
      </c>
      <c r="BQ24" s="117" t="s">
        <v>2386</v>
      </c>
      <c r="BR24" s="117" t="s">
        <v>2387</v>
      </c>
      <c r="BS24" s="117" t="s">
        <v>2388</v>
      </c>
      <c r="BT24" s="117" t="s">
        <v>2389</v>
      </c>
      <c r="BU24" s="117" t="s">
        <v>2390</v>
      </c>
      <c r="BV24" s="117" t="s">
        <v>2391</v>
      </c>
      <c r="BW24" s="117" t="s">
        <v>2392</v>
      </c>
      <c r="BX24" s="117" t="s">
        <v>2393</v>
      </c>
      <c r="BY24" s="117" t="s">
        <v>2394</v>
      </c>
      <c r="BZ24" s="117" t="s">
        <v>2395</v>
      </c>
      <c r="CA24" s="117" t="s">
        <v>2396</v>
      </c>
      <c r="CB24" s="117" t="s">
        <v>2397</v>
      </c>
      <c r="CC24" s="117" t="s">
        <v>2398</v>
      </c>
      <c r="CD24" s="117" t="s">
        <v>2399</v>
      </c>
      <c r="CE24" s="117" t="s">
        <v>2400</v>
      </c>
      <c r="CF24" s="117" t="s">
        <v>2401</v>
      </c>
      <c r="CG24" s="117" t="s">
        <v>2402</v>
      </c>
      <c r="CH24" s="117" t="s">
        <v>2403</v>
      </c>
      <c r="CI24" s="117" t="s">
        <v>2404</v>
      </c>
      <c r="CJ24" s="117" t="s">
        <v>2405</v>
      </c>
      <c r="CK24" s="117" t="s">
        <v>2406</v>
      </c>
      <c r="CL24" s="117" t="s">
        <v>2407</v>
      </c>
      <c r="CM24" s="117" t="s">
        <v>2408</v>
      </c>
    </row>
    <row r="25" spans="1:92" x14ac:dyDescent="0.25">
      <c r="A25" s="119"/>
      <c r="B25" s="117" t="s">
        <v>225</v>
      </c>
      <c r="C25" s="117" t="s">
        <v>275</v>
      </c>
      <c r="D25" s="117" t="s">
        <v>300</v>
      </c>
      <c r="E25" s="117" t="s">
        <v>325</v>
      </c>
      <c r="F25" s="117" t="s">
        <v>350</v>
      </c>
      <c r="G25" s="117" t="s">
        <v>375</v>
      </c>
      <c r="H25" s="117" t="s">
        <v>400</v>
      </c>
      <c r="I25" s="117" t="s">
        <v>909</v>
      </c>
      <c r="J25" s="117" t="s">
        <v>910</v>
      </c>
      <c r="K25" s="117" t="s">
        <v>911</v>
      </c>
      <c r="L25" s="117" t="s">
        <v>912</v>
      </c>
      <c r="M25" s="117" t="s">
        <v>913</v>
      </c>
      <c r="N25" s="117" t="s">
        <v>914</v>
      </c>
      <c r="O25" s="117" t="s">
        <v>915</v>
      </c>
      <c r="P25" s="117" t="s">
        <v>916</v>
      </c>
      <c r="Q25" s="117" t="s">
        <v>917</v>
      </c>
      <c r="R25" s="117" t="s">
        <v>918</v>
      </c>
      <c r="S25" s="117" t="s">
        <v>919</v>
      </c>
      <c r="T25" s="117" t="s">
        <v>920</v>
      </c>
      <c r="U25" s="117" t="s">
        <v>921</v>
      </c>
      <c r="V25" s="117" t="s">
        <v>922</v>
      </c>
      <c r="W25" s="117" t="s">
        <v>923</v>
      </c>
      <c r="X25" s="117" t="s">
        <v>924</v>
      </c>
      <c r="Y25" s="117" t="s">
        <v>925</v>
      </c>
      <c r="Z25" s="117" t="s">
        <v>926</v>
      </c>
      <c r="AA25" s="117" t="s">
        <v>927</v>
      </c>
      <c r="AB25" s="117" t="s">
        <v>928</v>
      </c>
      <c r="AC25" s="117" t="s">
        <v>929</v>
      </c>
      <c r="AD25" s="117" t="s">
        <v>930</v>
      </c>
      <c r="AE25" s="117" t="s">
        <v>931</v>
      </c>
      <c r="AF25" s="117" t="s">
        <v>1101</v>
      </c>
      <c r="AG25" s="117" t="s">
        <v>1102</v>
      </c>
      <c r="AH25" s="117" t="s">
        <v>1103</v>
      </c>
      <c r="AI25" s="117" t="s">
        <v>1824</v>
      </c>
      <c r="AJ25" s="117" t="s">
        <v>1825</v>
      </c>
      <c r="AK25" s="117" t="s">
        <v>1826</v>
      </c>
      <c r="AL25" s="117" t="s">
        <v>1827</v>
      </c>
      <c r="AM25" s="117" t="s">
        <v>1828</v>
      </c>
      <c r="AN25" s="117" t="s">
        <v>1829</v>
      </c>
      <c r="AO25" s="117" t="s">
        <v>1830</v>
      </c>
      <c r="AP25" s="117" t="s">
        <v>1831</v>
      </c>
      <c r="AQ25" s="117" t="s">
        <v>1832</v>
      </c>
      <c r="AR25" s="117" t="s">
        <v>1833</v>
      </c>
      <c r="AS25" s="117" t="s">
        <v>1834</v>
      </c>
      <c r="AT25" s="117" t="s">
        <v>1835</v>
      </c>
      <c r="AU25" s="117" t="s">
        <v>1836</v>
      </c>
      <c r="AV25" s="117" t="s">
        <v>1837</v>
      </c>
      <c r="AW25" s="117" t="s">
        <v>1838</v>
      </c>
      <c r="AX25" s="117" t="s">
        <v>1839</v>
      </c>
      <c r="AY25" s="117" t="s">
        <v>1840</v>
      </c>
      <c r="AZ25" s="117" t="s">
        <v>1841</v>
      </c>
      <c r="BA25" s="117" t="s">
        <v>1842</v>
      </c>
      <c r="BB25" s="117" t="s">
        <v>1843</v>
      </c>
      <c r="BC25" s="117" t="s">
        <v>1844</v>
      </c>
      <c r="BD25" s="117" t="s">
        <v>1845</v>
      </c>
      <c r="BE25" s="117" t="s">
        <v>1846</v>
      </c>
      <c r="BF25" s="117" t="s">
        <v>1847</v>
      </c>
      <c r="BG25" s="117" t="s">
        <v>1848</v>
      </c>
      <c r="BH25" s="117" t="s">
        <v>1849</v>
      </c>
      <c r="BI25" s="117" t="s">
        <v>1850</v>
      </c>
      <c r="BJ25" s="117" t="s">
        <v>1851</v>
      </c>
      <c r="BK25" s="117" t="s">
        <v>1852</v>
      </c>
      <c r="BL25" s="117" t="s">
        <v>1853</v>
      </c>
      <c r="BM25" s="117" t="s">
        <v>1854</v>
      </c>
      <c r="BN25" s="117" t="s">
        <v>1855</v>
      </c>
      <c r="BO25" s="117" t="s">
        <v>1856</v>
      </c>
      <c r="BP25" s="117" t="s">
        <v>1857</v>
      </c>
      <c r="BQ25" s="117" t="s">
        <v>2409</v>
      </c>
      <c r="BR25" s="117" t="s">
        <v>2410</v>
      </c>
      <c r="BS25" s="117" t="s">
        <v>2411</v>
      </c>
      <c r="BT25" s="117" t="s">
        <v>2412</v>
      </c>
      <c r="BU25" s="117" t="s">
        <v>2413</v>
      </c>
      <c r="BV25" s="117" t="s">
        <v>2414</v>
      </c>
      <c r="BW25" s="117" t="s">
        <v>2415</v>
      </c>
      <c r="BX25" s="117" t="s">
        <v>2416</v>
      </c>
      <c r="BY25" s="117" t="s">
        <v>2417</v>
      </c>
      <c r="BZ25" s="117" t="s">
        <v>2418</v>
      </c>
      <c r="CA25" s="117" t="s">
        <v>2419</v>
      </c>
      <c r="CB25" s="117" t="s">
        <v>2420</v>
      </c>
      <c r="CC25" s="117" t="s">
        <v>2421</v>
      </c>
      <c r="CD25" s="117" t="s">
        <v>2422</v>
      </c>
      <c r="CE25" s="117" t="s">
        <v>2423</v>
      </c>
      <c r="CF25" s="117" t="s">
        <v>2424</v>
      </c>
      <c r="CG25" s="117" t="s">
        <v>2425</v>
      </c>
      <c r="CH25" s="117" t="s">
        <v>2426</v>
      </c>
      <c r="CI25" s="117" t="s">
        <v>2427</v>
      </c>
      <c r="CJ25" s="117" t="s">
        <v>2428</v>
      </c>
      <c r="CK25" s="117" t="s">
        <v>2429</v>
      </c>
      <c r="CL25" s="117" t="s">
        <v>2430</v>
      </c>
      <c r="CM25" s="117" t="s">
        <v>2431</v>
      </c>
    </row>
    <row r="26" spans="1:92" x14ac:dyDescent="0.25">
      <c r="A26" s="119"/>
      <c r="B26" s="117" t="s">
        <v>224</v>
      </c>
      <c r="C26" s="117" t="s">
        <v>276</v>
      </c>
      <c r="D26" s="117" t="s">
        <v>301</v>
      </c>
      <c r="E26" s="117" t="s">
        <v>326</v>
      </c>
      <c r="F26" s="117" t="s">
        <v>351</v>
      </c>
      <c r="G26" s="117" t="s">
        <v>376</v>
      </c>
      <c r="H26" s="117" t="s">
        <v>401</v>
      </c>
      <c r="I26" s="117" t="s">
        <v>932</v>
      </c>
      <c r="J26" s="117" t="s">
        <v>933</v>
      </c>
      <c r="K26" s="117" t="s">
        <v>934</v>
      </c>
      <c r="L26" s="117" t="s">
        <v>935</v>
      </c>
      <c r="M26" s="117" t="s">
        <v>936</v>
      </c>
      <c r="N26" s="117" t="s">
        <v>937</v>
      </c>
      <c r="O26" s="117" t="s">
        <v>938</v>
      </c>
      <c r="P26" s="117" t="s">
        <v>939</v>
      </c>
      <c r="Q26" s="117" t="s">
        <v>940</v>
      </c>
      <c r="R26" s="117" t="s">
        <v>941</v>
      </c>
      <c r="S26" s="117" t="s">
        <v>942</v>
      </c>
      <c r="T26" s="117" t="s">
        <v>943</v>
      </c>
      <c r="U26" s="117" t="s">
        <v>944</v>
      </c>
      <c r="V26" s="117" t="s">
        <v>945</v>
      </c>
      <c r="W26" s="117" t="s">
        <v>946</v>
      </c>
      <c r="X26" s="117" t="s">
        <v>947</v>
      </c>
      <c r="Y26" s="117" t="s">
        <v>948</v>
      </c>
      <c r="Z26" s="117" t="s">
        <v>949</v>
      </c>
      <c r="AA26" s="117" t="s">
        <v>950</v>
      </c>
      <c r="AB26" s="117" t="s">
        <v>951</v>
      </c>
      <c r="AC26" s="117" t="s">
        <v>952</v>
      </c>
      <c r="AD26" s="117" t="s">
        <v>953</v>
      </c>
      <c r="AE26" s="117" t="s">
        <v>954</v>
      </c>
      <c r="AF26" s="117" t="s">
        <v>1104</v>
      </c>
      <c r="AG26" s="117" t="s">
        <v>1105</v>
      </c>
      <c r="AH26" s="117" t="s">
        <v>1106</v>
      </c>
      <c r="AI26" s="117" t="s">
        <v>1858</v>
      </c>
      <c r="AJ26" s="117" t="s">
        <v>1859</v>
      </c>
      <c r="AK26" s="117" t="s">
        <v>1860</v>
      </c>
      <c r="AL26" s="117" t="s">
        <v>1861</v>
      </c>
      <c r="AM26" s="117" t="s">
        <v>1862</v>
      </c>
      <c r="AN26" s="117" t="s">
        <v>1863</v>
      </c>
      <c r="AO26" s="117" t="s">
        <v>1864</v>
      </c>
      <c r="AP26" s="117" t="s">
        <v>1865</v>
      </c>
      <c r="AQ26" s="117" t="s">
        <v>1866</v>
      </c>
      <c r="AR26" s="117" t="s">
        <v>1867</v>
      </c>
      <c r="AS26" s="117" t="s">
        <v>1868</v>
      </c>
      <c r="AT26" s="117" t="s">
        <v>1869</v>
      </c>
      <c r="AU26" s="117" t="s">
        <v>1870</v>
      </c>
      <c r="AV26" s="117" t="s">
        <v>1871</v>
      </c>
      <c r="AW26" s="117" t="s">
        <v>1872</v>
      </c>
      <c r="AX26" s="117" t="s">
        <v>1873</v>
      </c>
      <c r="AY26" s="117" t="s">
        <v>1874</v>
      </c>
      <c r="AZ26" s="117" t="s">
        <v>1875</v>
      </c>
      <c r="BA26" s="117" t="s">
        <v>1876</v>
      </c>
      <c r="BB26" s="117" t="s">
        <v>1877</v>
      </c>
      <c r="BC26" s="117" t="s">
        <v>1878</v>
      </c>
      <c r="BD26" s="117" t="s">
        <v>1879</v>
      </c>
      <c r="BE26" s="117" t="s">
        <v>1880</v>
      </c>
      <c r="BF26" s="117" t="s">
        <v>1881</v>
      </c>
      <c r="BG26" s="117" t="s">
        <v>1882</v>
      </c>
      <c r="BH26" s="117" t="s">
        <v>1883</v>
      </c>
      <c r="BI26" s="117" t="s">
        <v>1884</v>
      </c>
      <c r="BJ26" s="117" t="s">
        <v>1885</v>
      </c>
      <c r="BK26" s="117" t="s">
        <v>1886</v>
      </c>
      <c r="BL26" s="117" t="s">
        <v>1887</v>
      </c>
      <c r="BM26" s="117" t="s">
        <v>1888</v>
      </c>
      <c r="BN26" s="117" t="s">
        <v>1889</v>
      </c>
      <c r="BO26" s="117" t="s">
        <v>1890</v>
      </c>
      <c r="BP26" s="117" t="s">
        <v>1891</v>
      </c>
      <c r="BQ26" s="117" t="s">
        <v>2432</v>
      </c>
      <c r="BR26" s="117" t="s">
        <v>2433</v>
      </c>
      <c r="BS26" s="117" t="s">
        <v>2434</v>
      </c>
      <c r="BT26" s="117" t="s">
        <v>2435</v>
      </c>
      <c r="BU26" s="117" t="s">
        <v>2436</v>
      </c>
      <c r="BV26" s="117" t="s">
        <v>2437</v>
      </c>
      <c r="BW26" s="117" t="s">
        <v>2438</v>
      </c>
      <c r="BX26" s="117" t="s">
        <v>2439</v>
      </c>
      <c r="BY26" s="117" t="s">
        <v>2440</v>
      </c>
      <c r="BZ26" s="117" t="s">
        <v>2441</v>
      </c>
      <c r="CA26" s="117" t="s">
        <v>2442</v>
      </c>
      <c r="CB26" s="117" t="s">
        <v>2443</v>
      </c>
      <c r="CC26" s="117" t="s">
        <v>2444</v>
      </c>
      <c r="CD26" s="117" t="s">
        <v>2445</v>
      </c>
      <c r="CE26" s="117" t="s">
        <v>2446</v>
      </c>
      <c r="CF26" s="117" t="s">
        <v>2447</v>
      </c>
      <c r="CG26" s="117" t="s">
        <v>2448</v>
      </c>
      <c r="CH26" s="117" t="s">
        <v>2449</v>
      </c>
      <c r="CI26" s="117" t="s">
        <v>2450</v>
      </c>
      <c r="CJ26" s="117" t="s">
        <v>2451</v>
      </c>
      <c r="CK26" s="117" t="s">
        <v>2452</v>
      </c>
      <c r="CL26" s="117" t="s">
        <v>2453</v>
      </c>
      <c r="CM26" s="117" t="s">
        <v>2454</v>
      </c>
    </row>
    <row r="27" spans="1:92" x14ac:dyDescent="0.25">
      <c r="A27" s="119"/>
      <c r="B27" s="117" t="s">
        <v>223</v>
      </c>
      <c r="C27" s="117" t="s">
        <v>277</v>
      </c>
      <c r="D27" s="117" t="s">
        <v>302</v>
      </c>
      <c r="E27" s="117" t="s">
        <v>327</v>
      </c>
      <c r="F27" s="117" t="s">
        <v>352</v>
      </c>
      <c r="G27" s="117" t="s">
        <v>377</v>
      </c>
      <c r="H27" s="117" t="s">
        <v>402</v>
      </c>
      <c r="I27" s="117" t="s">
        <v>955</v>
      </c>
      <c r="J27" s="117" t="s">
        <v>956</v>
      </c>
      <c r="K27" s="117" t="s">
        <v>957</v>
      </c>
      <c r="L27" s="117" t="s">
        <v>958</v>
      </c>
      <c r="M27" s="117" t="s">
        <v>959</v>
      </c>
      <c r="N27" s="117" t="s">
        <v>960</v>
      </c>
      <c r="O27" s="117" t="s">
        <v>961</v>
      </c>
      <c r="P27" s="117" t="s">
        <v>962</v>
      </c>
      <c r="Q27" s="117" t="s">
        <v>963</v>
      </c>
      <c r="R27" s="117" t="s">
        <v>964</v>
      </c>
      <c r="S27" s="117" t="s">
        <v>965</v>
      </c>
      <c r="T27" s="117" t="s">
        <v>966</v>
      </c>
      <c r="U27" s="117" t="s">
        <v>967</v>
      </c>
      <c r="V27" s="117" t="s">
        <v>968</v>
      </c>
      <c r="W27" s="117" t="s">
        <v>969</v>
      </c>
      <c r="X27" s="117" t="s">
        <v>970</v>
      </c>
      <c r="Y27" s="117" t="s">
        <v>971</v>
      </c>
      <c r="Z27" s="117" t="s">
        <v>972</v>
      </c>
      <c r="AA27" s="117" t="s">
        <v>973</v>
      </c>
      <c r="AB27" s="117" t="s">
        <v>974</v>
      </c>
      <c r="AC27" s="117" t="s">
        <v>975</v>
      </c>
      <c r="AD27" s="117" t="s">
        <v>976</v>
      </c>
      <c r="AE27" s="117" t="s">
        <v>977</v>
      </c>
      <c r="AF27" s="117" t="s">
        <v>1107</v>
      </c>
      <c r="AG27" s="117" t="s">
        <v>1108</v>
      </c>
      <c r="AH27" s="117" t="s">
        <v>1109</v>
      </c>
      <c r="AI27" s="117" t="s">
        <v>1892</v>
      </c>
      <c r="AJ27" s="117" t="s">
        <v>1893</v>
      </c>
      <c r="AK27" s="117" t="s">
        <v>1894</v>
      </c>
      <c r="AL27" s="117" t="s">
        <v>1895</v>
      </c>
      <c r="AM27" s="117" t="s">
        <v>1896</v>
      </c>
      <c r="AN27" s="117" t="s">
        <v>1897</v>
      </c>
      <c r="AO27" s="117" t="s">
        <v>1898</v>
      </c>
      <c r="AP27" s="117" t="s">
        <v>1899</v>
      </c>
      <c r="AQ27" s="117" t="s">
        <v>1900</v>
      </c>
      <c r="AR27" s="117" t="s">
        <v>1901</v>
      </c>
      <c r="AS27" s="117" t="s">
        <v>1902</v>
      </c>
      <c r="AT27" s="117" t="s">
        <v>1903</v>
      </c>
      <c r="AU27" s="117" t="s">
        <v>1904</v>
      </c>
      <c r="AV27" s="117" t="s">
        <v>1905</v>
      </c>
      <c r="AW27" s="117" t="s">
        <v>1906</v>
      </c>
      <c r="AX27" s="117" t="s">
        <v>1907</v>
      </c>
      <c r="AY27" s="117" t="s">
        <v>1908</v>
      </c>
      <c r="AZ27" s="117" t="s">
        <v>1909</v>
      </c>
      <c r="BA27" s="117" t="s">
        <v>1910</v>
      </c>
      <c r="BB27" s="117" t="s">
        <v>1911</v>
      </c>
      <c r="BC27" s="117" t="s">
        <v>1912</v>
      </c>
      <c r="BD27" s="117" t="s">
        <v>1913</v>
      </c>
      <c r="BE27" s="117" t="s">
        <v>1914</v>
      </c>
      <c r="BF27" s="117" t="s">
        <v>1915</v>
      </c>
      <c r="BG27" s="117" t="s">
        <v>1916</v>
      </c>
      <c r="BH27" s="117" t="s">
        <v>1917</v>
      </c>
      <c r="BI27" s="117" t="s">
        <v>1918</v>
      </c>
      <c r="BJ27" s="117" t="s">
        <v>1919</v>
      </c>
      <c r="BK27" s="117" t="s">
        <v>1920</v>
      </c>
      <c r="BL27" s="117" t="s">
        <v>1921</v>
      </c>
      <c r="BM27" s="117" t="s">
        <v>1922</v>
      </c>
      <c r="BN27" s="117" t="s">
        <v>1923</v>
      </c>
      <c r="BO27" s="117" t="s">
        <v>1924</v>
      </c>
      <c r="BP27" s="117" t="s">
        <v>1925</v>
      </c>
      <c r="BQ27" s="117" t="s">
        <v>2455</v>
      </c>
      <c r="BR27" s="117" t="s">
        <v>2456</v>
      </c>
      <c r="BS27" s="117" t="s">
        <v>2457</v>
      </c>
      <c r="BT27" s="117" t="s">
        <v>2458</v>
      </c>
      <c r="BU27" s="117" t="s">
        <v>2459</v>
      </c>
      <c r="BV27" s="117" t="s">
        <v>2460</v>
      </c>
      <c r="BW27" s="117" t="s">
        <v>2461</v>
      </c>
      <c r="BX27" s="117" t="s">
        <v>2462</v>
      </c>
      <c r="BY27" s="117" t="s">
        <v>2463</v>
      </c>
      <c r="BZ27" s="117" t="s">
        <v>2464</v>
      </c>
      <c r="CA27" s="117" t="s">
        <v>2465</v>
      </c>
      <c r="CB27" s="117" t="s">
        <v>2466</v>
      </c>
      <c r="CC27" s="117" t="s">
        <v>2467</v>
      </c>
      <c r="CD27" s="117" t="s">
        <v>2468</v>
      </c>
      <c r="CE27" s="117" t="s">
        <v>2469</v>
      </c>
      <c r="CF27" s="117" t="s">
        <v>2470</v>
      </c>
      <c r="CG27" s="117" t="s">
        <v>2471</v>
      </c>
      <c r="CH27" s="117" t="s">
        <v>2472</v>
      </c>
      <c r="CI27" s="117" t="s">
        <v>2473</v>
      </c>
      <c r="CJ27" s="117" t="s">
        <v>2474</v>
      </c>
      <c r="CK27" s="117" t="s">
        <v>2475</v>
      </c>
      <c r="CL27" s="117" t="s">
        <v>2476</v>
      </c>
      <c r="CM27" s="117" t="s">
        <v>2477</v>
      </c>
    </row>
    <row r="28" spans="1:92" x14ac:dyDescent="0.25"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</row>
    <row r="29" spans="1:92" ht="52.8" x14ac:dyDescent="0.25">
      <c r="B29" s="117"/>
      <c r="C29" s="117"/>
      <c r="D29" s="117"/>
      <c r="E29" s="117"/>
      <c r="F29" s="117"/>
      <c r="G29" s="255" t="s">
        <v>2551</v>
      </c>
      <c r="H29" s="117"/>
      <c r="I29" s="117"/>
      <c r="J29" s="117"/>
      <c r="K29" s="255" t="s">
        <v>2554</v>
      </c>
      <c r="L29" s="117"/>
      <c r="M29" s="117"/>
      <c r="N29" s="117"/>
      <c r="O29" s="255" t="s">
        <v>2556</v>
      </c>
      <c r="P29" s="117"/>
      <c r="Q29" s="117"/>
      <c r="R29" s="117"/>
      <c r="S29" s="255" t="s">
        <v>2565</v>
      </c>
      <c r="T29" s="117"/>
      <c r="U29" s="117"/>
      <c r="V29" s="117"/>
      <c r="W29" s="117"/>
      <c r="X29" s="117"/>
      <c r="Y29" s="255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</row>
    <row r="30" spans="1:92" x14ac:dyDescent="0.25">
      <c r="A30" s="117" t="s">
        <v>2511</v>
      </c>
      <c r="B30" s="133" t="s">
        <v>2512</v>
      </c>
      <c r="C30" s="134"/>
      <c r="D30" s="117" t="s">
        <v>24</v>
      </c>
      <c r="E30" s="175" t="s">
        <v>2535</v>
      </c>
      <c r="F30" s="117"/>
      <c r="H30" s="256" t="s">
        <v>19</v>
      </c>
      <c r="I30" s="257" t="s">
        <v>2538</v>
      </c>
      <c r="J30" s="117"/>
      <c r="K30" s="117"/>
      <c r="L30" s="256" t="s">
        <v>2511</v>
      </c>
      <c r="M30" s="117" t="s">
        <v>2559</v>
      </c>
      <c r="N30" s="256" t="s">
        <v>2542</v>
      </c>
      <c r="O30" s="117"/>
      <c r="P30" s="256" t="s">
        <v>2530</v>
      </c>
      <c r="Q30" s="256" t="s">
        <v>2557</v>
      </c>
      <c r="R30" s="256" t="s">
        <v>2558</v>
      </c>
      <c r="S30" s="117"/>
      <c r="T30" s="277" t="s">
        <v>12</v>
      </c>
      <c r="U30" s="256" t="s">
        <v>2511</v>
      </c>
      <c r="V30" s="256" t="s">
        <v>206</v>
      </c>
      <c r="W30" s="256" t="s">
        <v>13</v>
      </c>
      <c r="X30" s="256" t="s">
        <v>2557</v>
      </c>
      <c r="Y30" s="117"/>
      <c r="Z30" s="2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</row>
    <row r="31" spans="1:92" x14ac:dyDescent="0.25">
      <c r="B31" s="132" t="s">
        <v>2513</v>
      </c>
      <c r="C31" s="117"/>
      <c r="D31" s="117"/>
      <c r="E31" s="131" t="s">
        <v>2536</v>
      </c>
      <c r="F31" s="117"/>
      <c r="G31" s="117"/>
      <c r="H31" t="str">
        <f>Worksheet!$M16</f>
        <v>Panta Flex Linen</v>
      </c>
      <c r="I31" s="211">
        <f>IF(Worksheet!$D16&gt;0,((Worksheet!$H16+12)*Worksheet!$F16/1296),0)</f>
        <v>5.104166666666667</v>
      </c>
      <c r="J31" s="117"/>
      <c r="K31" s="117"/>
      <c r="L31" s="505" t="str">
        <f>Worksheet!$E16</f>
        <v>Tube 2.375</v>
      </c>
      <c r="M31" s="506">
        <f>IF(Worksheet!$D16&gt;0,Worksheet!$F16-1.375,0)</f>
        <v>43.625</v>
      </c>
      <c r="N31" s="252">
        <f>IF($M31&gt;0,$M31-2.5,0)</f>
        <v>41.125</v>
      </c>
      <c r="O31" s="117"/>
      <c r="P31" s="117" t="str">
        <f>Worksheet!$P16</f>
        <v>CX</v>
      </c>
      <c r="Q31" s="117">
        <f>Worksheet!$K16</f>
        <v>0</v>
      </c>
      <c r="R31" s="301">
        <f>Worksheet!$F16</f>
        <v>45</v>
      </c>
      <c r="S31" s="117"/>
      <c r="T31" s="217">
        <f>Worksheet!$D16</f>
        <v>1</v>
      </c>
      <c r="U31" s="505" t="str">
        <f>Worksheet!$E16</f>
        <v>Tube 2.375</v>
      </c>
      <c r="V31" s="117" t="str">
        <f>Worksheet!$P16</f>
        <v>CX</v>
      </c>
      <c r="W31" s="117">
        <f>Worksheet!$Q16</f>
        <v>0</v>
      </c>
      <c r="X31" s="117">
        <f>Worksheet!$K16</f>
        <v>0</v>
      </c>
      <c r="Y31" s="117"/>
      <c r="Z31" s="8"/>
      <c r="AA31" s="284"/>
      <c r="AB31" s="2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</row>
    <row r="32" spans="1:92" x14ac:dyDescent="0.25">
      <c r="B32" s="132" t="s">
        <v>2514</v>
      </c>
      <c r="C32" s="117"/>
      <c r="D32" s="117"/>
      <c r="E32" s="117"/>
      <c r="F32" s="117"/>
      <c r="G32" s="117"/>
      <c r="H32" t="str">
        <f>Worksheet!$M17</f>
        <v>Panta Flex Linen</v>
      </c>
      <c r="I32" s="211">
        <f>IF(Worksheet!$D17&gt;0,((Worksheet!$H17+12)*Worksheet!$F17/1296),0)</f>
        <v>4.0596064814814818</v>
      </c>
      <c r="J32" s="117"/>
      <c r="K32" s="117"/>
      <c r="L32" s="284" t="str">
        <f>Worksheet!$E17</f>
        <v>Tube 2.375</v>
      </c>
      <c r="M32" s="252">
        <f>IF(Worksheet!$D17&gt;0,Worksheet!$F17-1.375,0)</f>
        <v>44.375</v>
      </c>
      <c r="N32" s="252">
        <f>IF($M32&gt;0,$M32-2.5,0)</f>
        <v>41.875</v>
      </c>
      <c r="O32" s="117"/>
      <c r="P32" s="117" t="str">
        <f>Worksheet!$P17</f>
        <v>CX</v>
      </c>
      <c r="Q32" s="117" t="str">
        <f>Worksheet!$K17</f>
        <v>White</v>
      </c>
      <c r="R32" s="301">
        <f>Worksheet!$F17</f>
        <v>45.75</v>
      </c>
      <c r="S32" s="117"/>
      <c r="T32" s="217">
        <f>Worksheet!$D17</f>
        <v>1</v>
      </c>
      <c r="U32" s="284" t="str">
        <f>Worksheet!$E17</f>
        <v>Tube 2.375</v>
      </c>
      <c r="V32" s="117" t="str">
        <f>Worksheet!$P17</f>
        <v>CX</v>
      </c>
      <c r="W32" s="117">
        <f>Worksheet!$Q17</f>
        <v>0</v>
      </c>
      <c r="X32" s="117" t="str">
        <f>Worksheet!$K17</f>
        <v>White</v>
      </c>
      <c r="Y32" s="117"/>
      <c r="Z32" s="8"/>
      <c r="AA32" s="284"/>
      <c r="AB32" s="2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</row>
    <row r="33" spans="1:92" x14ac:dyDescent="0.25">
      <c r="B33" s="130" t="s">
        <v>2515</v>
      </c>
      <c r="C33" s="117"/>
      <c r="D33" s="117"/>
      <c r="E33" s="117"/>
      <c r="F33" s="117"/>
      <c r="G33" s="117"/>
      <c r="H33" t="str">
        <f>Worksheet!$M18</f>
        <v>Panta Flex Linen</v>
      </c>
      <c r="I33" s="211">
        <f>IF(Worksheet!$D18&gt;0,((Worksheet!$H18+12)*Worksheet!$F18/1296),0)</f>
        <v>2.1404320987654319</v>
      </c>
      <c r="J33" s="117"/>
      <c r="K33" s="117"/>
      <c r="L33" s="284" t="str">
        <f>Worksheet!$E18</f>
        <v>Tube 1.5</v>
      </c>
      <c r="M33" s="252">
        <f>IF(Worksheet!$D18&gt;0,Worksheet!$F18-1.375,0)</f>
        <v>35.125</v>
      </c>
      <c r="N33" s="252">
        <f t="shared" ref="N33:N55" si="0">IF($M33&gt;0,$M33-2.5,0)</f>
        <v>32.625</v>
      </c>
      <c r="O33" s="117"/>
      <c r="P33" s="117" t="str">
        <f>Worksheet!$P18</f>
        <v>CX</v>
      </c>
      <c r="Q33" s="117" t="str">
        <f>Worksheet!$K18</f>
        <v>White</v>
      </c>
      <c r="R33" s="301">
        <f>Worksheet!$F18</f>
        <v>36.5</v>
      </c>
      <c r="S33" s="117"/>
      <c r="T33" s="217">
        <f>Worksheet!$D18</f>
        <v>1</v>
      </c>
      <c r="U33" s="284" t="str">
        <f>Worksheet!$E18</f>
        <v>Tube 1.5</v>
      </c>
      <c r="V33" s="117" t="str">
        <f>Worksheet!$P18</f>
        <v>CX</v>
      </c>
      <c r="W33" s="117">
        <f>Worksheet!$Q18</f>
        <v>0</v>
      </c>
      <c r="X33" s="117" t="str">
        <f>Worksheet!$K18</f>
        <v>White</v>
      </c>
      <c r="Y33" s="117"/>
      <c r="Z33" s="8"/>
      <c r="AA33" s="284"/>
      <c r="AB33" s="2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</row>
    <row r="34" spans="1:92" x14ac:dyDescent="0.25">
      <c r="B34" s="130" t="s">
        <v>2628</v>
      </c>
      <c r="C34" s="117"/>
      <c r="D34" s="117"/>
      <c r="E34" s="117"/>
      <c r="F34" s="117"/>
      <c r="G34" s="117"/>
      <c r="H34" t="str">
        <f>Worksheet!$M19</f>
        <v>Panta Flex Linen</v>
      </c>
      <c r="I34" s="211">
        <f>IF(Worksheet!$D19&gt;0,((Worksheet!$H19+12)*Worksheet!$F19/1296),0)</f>
        <v>2.1111111111111112</v>
      </c>
      <c r="J34" s="117"/>
      <c r="K34" s="117"/>
      <c r="L34" s="284" t="str">
        <f>Worksheet!$E19</f>
        <v>Tube 1.5</v>
      </c>
      <c r="M34" s="252">
        <f>IF(Worksheet!$D19&gt;0,Worksheet!$F19-1.375,0)</f>
        <v>34.625</v>
      </c>
      <c r="N34" s="252">
        <f t="shared" si="0"/>
        <v>32.125</v>
      </c>
      <c r="O34" s="117"/>
      <c r="P34" s="117" t="str">
        <f>Worksheet!$P19</f>
        <v>CX</v>
      </c>
      <c r="Q34" s="117" t="str">
        <f>Worksheet!$K19</f>
        <v>White</v>
      </c>
      <c r="R34" s="301">
        <f>Worksheet!$F19</f>
        <v>36</v>
      </c>
      <c r="S34" s="117"/>
      <c r="T34" s="217">
        <f>Worksheet!$D19</f>
        <v>1</v>
      </c>
      <c r="U34" s="284" t="str">
        <f>Worksheet!$E19</f>
        <v>Tube 1.5</v>
      </c>
      <c r="V34" s="117" t="str">
        <f>Worksheet!$P19</f>
        <v>CX</v>
      </c>
      <c r="W34" s="117">
        <f>Worksheet!$Q19</f>
        <v>0</v>
      </c>
      <c r="X34" s="117" t="str">
        <f>Worksheet!$K19</f>
        <v>White</v>
      </c>
      <c r="Y34" s="117"/>
      <c r="Z34" s="8"/>
      <c r="AA34" s="284"/>
      <c r="AB34" s="2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</row>
    <row r="35" spans="1:92" x14ac:dyDescent="0.25">
      <c r="B35" s="131"/>
      <c r="C35" s="117"/>
      <c r="D35" s="117"/>
      <c r="E35" s="117"/>
      <c r="F35" s="117"/>
      <c r="G35" s="117"/>
      <c r="H35" t="str">
        <f>Worksheet!$M20</f>
        <v>Panta Flex Linen</v>
      </c>
      <c r="I35" s="211">
        <f>IF(Worksheet!$D20&gt;0,((Worksheet!$H20+12)*Worksheet!$F20/1296),0)</f>
        <v>2.0964506172839505</v>
      </c>
      <c r="J35" s="117"/>
      <c r="K35" s="117"/>
      <c r="L35" s="284" t="str">
        <f>Worksheet!$E20</f>
        <v>Tube 1.5</v>
      </c>
      <c r="M35" s="252">
        <f>IF(Worksheet!$D20&gt;0,Worksheet!$F20-1.375,0)</f>
        <v>34.375</v>
      </c>
      <c r="N35" s="252">
        <f t="shared" si="0"/>
        <v>31.875</v>
      </c>
      <c r="O35" s="117"/>
      <c r="P35" s="117" t="str">
        <f>Worksheet!$P20</f>
        <v>CX</v>
      </c>
      <c r="Q35" s="117" t="str">
        <f>Worksheet!$K20</f>
        <v>White</v>
      </c>
      <c r="R35" s="301">
        <f>Worksheet!$F20</f>
        <v>35.75</v>
      </c>
      <c r="S35" s="117"/>
      <c r="T35" s="217">
        <f>Worksheet!$D20</f>
        <v>1</v>
      </c>
      <c r="U35" s="284" t="str">
        <f>Worksheet!$E20</f>
        <v>Tube 1.5</v>
      </c>
      <c r="V35" s="117" t="str">
        <f>Worksheet!$P20</f>
        <v>CX</v>
      </c>
      <c r="W35" s="117">
        <f>Worksheet!$Q20</f>
        <v>0</v>
      </c>
      <c r="X35" s="117" t="str">
        <f>Worksheet!$K20</f>
        <v>White</v>
      </c>
      <c r="Y35" s="117"/>
      <c r="Z35" s="8"/>
      <c r="AA35" s="284"/>
      <c r="AB35" s="2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</row>
    <row r="36" spans="1:92" x14ac:dyDescent="0.25">
      <c r="C36" s="117"/>
      <c r="D36" s="117"/>
      <c r="E36" s="117"/>
      <c r="F36" s="117"/>
      <c r="G36" s="117"/>
      <c r="H36" t="str">
        <f>Worksheet!$M21</f>
        <v>Panta Flex Linen</v>
      </c>
      <c r="I36" s="211">
        <f>IF(Worksheet!$D21&gt;0,((Worksheet!$H21+12)*Worksheet!$F21/1296),0)</f>
        <v>2.1111111111111112</v>
      </c>
      <c r="J36" s="117"/>
      <c r="K36" s="117"/>
      <c r="L36" s="284" t="str">
        <f>Worksheet!$E21</f>
        <v>Tube 1.5</v>
      </c>
      <c r="M36" s="252">
        <f>IF(Worksheet!$D21&gt;0,Worksheet!$F21-1.375,0)</f>
        <v>34.625</v>
      </c>
      <c r="N36" s="252">
        <f t="shared" si="0"/>
        <v>32.125</v>
      </c>
      <c r="O36" s="117"/>
      <c r="P36" s="117" t="str">
        <f>Worksheet!$P21</f>
        <v>CX</v>
      </c>
      <c r="Q36" s="117" t="str">
        <f>Worksheet!$K21</f>
        <v>White</v>
      </c>
      <c r="R36" s="301">
        <f>Worksheet!$F21</f>
        <v>36</v>
      </c>
      <c r="S36" s="117"/>
      <c r="T36" s="217">
        <f>Worksheet!$D21</f>
        <v>1</v>
      </c>
      <c r="U36" s="284" t="str">
        <f>Worksheet!$E21</f>
        <v>Tube 1.5</v>
      </c>
      <c r="V36" s="117" t="str">
        <f>Worksheet!$P21</f>
        <v>CX</v>
      </c>
      <c r="W36" s="117">
        <f>Worksheet!$Q21</f>
        <v>0</v>
      </c>
      <c r="X36" s="117" t="str">
        <f>Worksheet!$K21</f>
        <v>White</v>
      </c>
      <c r="Y36" s="117"/>
      <c r="Z36" s="8"/>
      <c r="AA36" s="284"/>
      <c r="AB36" s="2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</row>
    <row r="37" spans="1:92" x14ac:dyDescent="0.25">
      <c r="A37" s="117" t="s">
        <v>2530</v>
      </c>
      <c r="B37" s="175" t="s">
        <v>220</v>
      </c>
      <c r="C37" s="117"/>
      <c r="D37" s="117" t="s">
        <v>2534</v>
      </c>
      <c r="E37" s="175" t="s">
        <v>2533</v>
      </c>
      <c r="F37" s="117"/>
      <c r="G37" s="117"/>
      <c r="H37" t="str">
        <f>Worksheet!$M22</f>
        <v>Panta Flex Linen</v>
      </c>
      <c r="I37" s="211">
        <f>IF(Worksheet!$D22&gt;0,((Worksheet!$H22+12)*Worksheet!$F22/1296),0)</f>
        <v>2.1257716049382718</v>
      </c>
      <c r="J37" s="117"/>
      <c r="K37" s="117"/>
      <c r="L37" s="284" t="str">
        <f>Worksheet!$E22</f>
        <v>Tube 1.5</v>
      </c>
      <c r="M37" s="252">
        <f>IF(Worksheet!$D22&gt;0,Worksheet!$F22-1.375,0)</f>
        <v>34.875</v>
      </c>
      <c r="N37" s="252">
        <f t="shared" si="0"/>
        <v>32.375</v>
      </c>
      <c r="O37" s="117"/>
      <c r="P37" s="117" t="str">
        <f>Worksheet!$P22</f>
        <v>CX</v>
      </c>
      <c r="Q37" s="117" t="str">
        <f>Worksheet!$K22</f>
        <v>White</v>
      </c>
      <c r="R37" s="301">
        <f>Worksheet!$F22</f>
        <v>36.25</v>
      </c>
      <c r="S37" s="117"/>
      <c r="T37" s="217">
        <f>Worksheet!$D22</f>
        <v>1</v>
      </c>
      <c r="U37" s="284" t="str">
        <f>Worksheet!$E22</f>
        <v>Tube 1.5</v>
      </c>
      <c r="V37" s="117" t="str">
        <f>Worksheet!$P22</f>
        <v>CX</v>
      </c>
      <c r="W37" s="117">
        <f>Worksheet!$Q22</f>
        <v>0</v>
      </c>
      <c r="X37" s="117" t="str">
        <f>Worksheet!$K22</f>
        <v>White</v>
      </c>
      <c r="Y37" s="117"/>
      <c r="Z37" s="8"/>
      <c r="AA37" s="284"/>
      <c r="AB37" s="2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</row>
    <row r="38" spans="1:92" x14ac:dyDescent="0.25">
      <c r="B38" s="130" t="s">
        <v>2624</v>
      </c>
      <c r="C38" s="117"/>
      <c r="D38" s="117"/>
      <c r="E38" s="130" t="s">
        <v>2510</v>
      </c>
      <c r="F38" s="117"/>
      <c r="G38" s="117"/>
      <c r="H38">
        <f>Worksheet!$M23</f>
        <v>0</v>
      </c>
      <c r="I38" s="211">
        <f>IF(Worksheet!$D23&gt;0,((Worksheet!$H23+12)*Worksheet!$F23/1296),0)</f>
        <v>0</v>
      </c>
      <c r="J38" s="117"/>
      <c r="K38" s="117"/>
      <c r="L38" s="284" t="str">
        <f>Worksheet!$E23</f>
        <v>Tube 1.5</v>
      </c>
      <c r="M38" s="252">
        <f>IF(Worksheet!$D23&gt;0,Worksheet!$F23-1.375,0)</f>
        <v>0</v>
      </c>
      <c r="N38" s="252">
        <f t="shared" si="0"/>
        <v>0</v>
      </c>
      <c r="O38" s="117"/>
      <c r="P38" s="117">
        <f>Worksheet!$P23</f>
        <v>0</v>
      </c>
      <c r="Q38" s="117">
        <f>Worksheet!$K23</f>
        <v>0</v>
      </c>
      <c r="R38" s="301">
        <f>Worksheet!$F23</f>
        <v>0</v>
      </c>
      <c r="S38" s="117"/>
      <c r="T38" s="217">
        <f>Worksheet!$D23</f>
        <v>0</v>
      </c>
      <c r="U38" s="284" t="str">
        <f>Worksheet!$E23</f>
        <v>Tube 1.5</v>
      </c>
      <c r="V38" s="117">
        <f>Worksheet!$P23</f>
        <v>0</v>
      </c>
      <c r="W38" s="117">
        <f>Worksheet!$Q23</f>
        <v>0</v>
      </c>
      <c r="X38" s="117">
        <f>Worksheet!$K23</f>
        <v>0</v>
      </c>
      <c r="Y38" s="117"/>
      <c r="Z38" s="8"/>
      <c r="AA38" s="284"/>
      <c r="AB38" s="2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</row>
    <row r="39" spans="1:92" x14ac:dyDescent="0.25">
      <c r="B39" s="130" t="s">
        <v>2524</v>
      </c>
      <c r="C39" s="117"/>
      <c r="D39" s="117"/>
      <c r="E39" s="131" t="s">
        <v>2566</v>
      </c>
      <c r="F39" s="117"/>
      <c r="G39" s="117"/>
      <c r="H39">
        <f>Worksheet!$M24</f>
        <v>0</v>
      </c>
      <c r="I39" s="211">
        <f>IF(Worksheet!$D24&gt;0,((Worksheet!$H24+12)*Worksheet!$F24/1296),0)</f>
        <v>0</v>
      </c>
      <c r="J39" s="117"/>
      <c r="K39" s="117"/>
      <c r="L39" s="284" t="str">
        <f>Worksheet!$E24</f>
        <v>Tube 1.5</v>
      </c>
      <c r="M39" s="252">
        <f>IF(Worksheet!$D24&gt;0,Worksheet!$F24-1.375,0)</f>
        <v>0</v>
      </c>
      <c r="N39" s="252">
        <f t="shared" si="0"/>
        <v>0</v>
      </c>
      <c r="O39" s="117"/>
      <c r="P39" s="117">
        <f>Worksheet!$P24</f>
        <v>0</v>
      </c>
      <c r="Q39" s="117">
        <f>Worksheet!$K24</f>
        <v>0</v>
      </c>
      <c r="R39" s="301">
        <f>Worksheet!$F24</f>
        <v>0</v>
      </c>
      <c r="S39" s="117"/>
      <c r="T39" s="217">
        <f>Worksheet!$D24</f>
        <v>0</v>
      </c>
      <c r="U39" s="284" t="str">
        <f>Worksheet!$E24</f>
        <v>Tube 1.5</v>
      </c>
      <c r="V39" s="117">
        <f>Worksheet!$P24</f>
        <v>0</v>
      </c>
      <c r="W39" s="117">
        <f>Worksheet!$Q24</f>
        <v>0</v>
      </c>
      <c r="X39" s="117">
        <f>Worksheet!$K24</f>
        <v>0</v>
      </c>
      <c r="Y39" s="117"/>
      <c r="Z39" s="8"/>
      <c r="AA39" s="284"/>
      <c r="AB39" s="2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</row>
    <row r="40" spans="1:92" x14ac:dyDescent="0.25">
      <c r="B40" s="131" t="s">
        <v>2657</v>
      </c>
      <c r="C40" s="117"/>
      <c r="D40" s="117"/>
      <c r="E40" s="117"/>
      <c r="F40" s="117"/>
      <c r="G40" s="117"/>
      <c r="H40">
        <f>Worksheet!$M25</f>
        <v>0</v>
      </c>
      <c r="I40" s="211">
        <f>IF(Worksheet!$D25&gt;0,((Worksheet!$H25+12)*Worksheet!$F25/1296),0)</f>
        <v>0</v>
      </c>
      <c r="J40" s="117"/>
      <c r="K40" s="117"/>
      <c r="L40" s="284" t="str">
        <f>Worksheet!$E25</f>
        <v>Tube 1.5</v>
      </c>
      <c r="M40" s="252">
        <f>IF(Worksheet!$D25&gt;0,Worksheet!$F25-1.375,0)</f>
        <v>0</v>
      </c>
      <c r="N40" s="252">
        <f t="shared" si="0"/>
        <v>0</v>
      </c>
      <c r="O40" s="117"/>
      <c r="P40" s="117">
        <f>Worksheet!$P25</f>
        <v>0</v>
      </c>
      <c r="Q40" s="117">
        <f>Worksheet!$K25</f>
        <v>0</v>
      </c>
      <c r="R40" s="301">
        <f>Worksheet!$F25</f>
        <v>0</v>
      </c>
      <c r="S40" s="117"/>
      <c r="T40" s="217">
        <f>Worksheet!$D25</f>
        <v>0</v>
      </c>
      <c r="U40" s="284" t="str">
        <f>Worksheet!$E25</f>
        <v>Tube 1.5</v>
      </c>
      <c r="V40" s="117">
        <f>Worksheet!$P25</f>
        <v>0</v>
      </c>
      <c r="W40" s="117">
        <f>Worksheet!$Q25</f>
        <v>0</v>
      </c>
      <c r="X40" s="117">
        <f>Worksheet!$K25</f>
        <v>0</v>
      </c>
      <c r="Y40" s="117"/>
      <c r="Z40" s="8"/>
      <c r="AA40" s="284"/>
      <c r="AB40" s="2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</row>
    <row r="41" spans="1:92" x14ac:dyDescent="0.25">
      <c r="C41" s="117"/>
      <c r="D41" s="117"/>
      <c r="E41" s="117"/>
      <c r="F41" s="117"/>
      <c r="G41" s="117"/>
      <c r="H41">
        <f>Worksheet!$M26</f>
        <v>0</v>
      </c>
      <c r="I41" s="211">
        <f>IF(Worksheet!$D26&gt;0,((Worksheet!$H26+12)*Worksheet!$F26/1296),0)</f>
        <v>0</v>
      </c>
      <c r="J41" s="117"/>
      <c r="K41" s="117"/>
      <c r="L41" s="284" t="str">
        <f>Worksheet!$E26</f>
        <v>Tube 1.5</v>
      </c>
      <c r="M41" s="252">
        <f>IF(Worksheet!$D26&gt;0,Worksheet!$F26-1.375,0)</f>
        <v>0</v>
      </c>
      <c r="N41" s="252">
        <f t="shared" si="0"/>
        <v>0</v>
      </c>
      <c r="O41" s="117"/>
      <c r="P41" s="117">
        <f>Worksheet!$P26</f>
        <v>0</v>
      </c>
      <c r="Q41" s="117">
        <f>Worksheet!$K26</f>
        <v>0</v>
      </c>
      <c r="R41" s="301">
        <f>Worksheet!$F26</f>
        <v>0</v>
      </c>
      <c r="S41" s="117"/>
      <c r="T41" s="217">
        <f>Worksheet!$D26</f>
        <v>0</v>
      </c>
      <c r="U41" s="284" t="str">
        <f>Worksheet!$E26</f>
        <v>Tube 1.5</v>
      </c>
      <c r="V41" s="117">
        <f>Worksheet!$P26</f>
        <v>0</v>
      </c>
      <c r="W41" s="117">
        <f>Worksheet!$Q26</f>
        <v>0</v>
      </c>
      <c r="X41" s="117">
        <f>Worksheet!$K26</f>
        <v>0</v>
      </c>
      <c r="Y41" s="117"/>
      <c r="Z41" s="8"/>
      <c r="AA41" s="284"/>
      <c r="AB41" s="2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</row>
    <row r="42" spans="1:92" x14ac:dyDescent="0.25">
      <c r="E42" s="117"/>
      <c r="H42">
        <f>Worksheet!$M27</f>
        <v>0</v>
      </c>
      <c r="I42" s="211">
        <f>IF(Worksheet!$D27&gt;0,((Worksheet!$H27+12)*Worksheet!$F27/1296),0)</f>
        <v>0</v>
      </c>
      <c r="L42" s="284" t="str">
        <f>Worksheet!$E27</f>
        <v>Tube 1.5</v>
      </c>
      <c r="M42" s="252">
        <f>IF(Worksheet!$D27&gt;0,Worksheet!$F27-1.375,0)</f>
        <v>0</v>
      </c>
      <c r="N42" s="252">
        <f t="shared" si="0"/>
        <v>0</v>
      </c>
      <c r="P42" s="117">
        <f>Worksheet!$P27</f>
        <v>0</v>
      </c>
      <c r="Q42" s="117">
        <f>Worksheet!$K27</f>
        <v>0</v>
      </c>
      <c r="R42" s="301">
        <f>Worksheet!$F27</f>
        <v>0</v>
      </c>
      <c r="T42" s="217">
        <f>Worksheet!$D27</f>
        <v>0</v>
      </c>
      <c r="U42" s="284" t="str">
        <f>Worksheet!$E27</f>
        <v>Tube 1.5</v>
      </c>
      <c r="V42" s="117">
        <f>Worksheet!$P27</f>
        <v>0</v>
      </c>
      <c r="W42" s="117">
        <f>Worksheet!$Q27</f>
        <v>0</v>
      </c>
      <c r="X42" s="117">
        <f>Worksheet!$K27</f>
        <v>0</v>
      </c>
      <c r="Z42" s="8"/>
      <c r="AA42" s="284"/>
      <c r="AB42" s="217"/>
    </row>
    <row r="43" spans="1:92" x14ac:dyDescent="0.25">
      <c r="H43">
        <f>Worksheet!$M28</f>
        <v>0</v>
      </c>
      <c r="I43" s="211">
        <f>IF(Worksheet!$D28&gt;0,((Worksheet!$H28+12)*Worksheet!$F28/1296),0)</f>
        <v>0</v>
      </c>
      <c r="L43" s="284" t="str">
        <f>Worksheet!$E28</f>
        <v>Tube 1.5</v>
      </c>
      <c r="M43" s="252">
        <f>IF(Worksheet!$D28&gt;0,Worksheet!$F28-1.375,0)</f>
        <v>0</v>
      </c>
      <c r="N43" s="252">
        <f t="shared" si="0"/>
        <v>0</v>
      </c>
      <c r="P43" s="117">
        <f>Worksheet!$P28</f>
        <v>0</v>
      </c>
      <c r="Q43" s="117">
        <f>Worksheet!$K28</f>
        <v>0</v>
      </c>
      <c r="R43" s="301">
        <f>Worksheet!$F28</f>
        <v>0</v>
      </c>
      <c r="T43" s="217">
        <f>Worksheet!$D28</f>
        <v>0</v>
      </c>
      <c r="U43" s="284" t="str">
        <f>Worksheet!$E28</f>
        <v>Tube 1.5</v>
      </c>
      <c r="V43" s="117">
        <f>Worksheet!$P28</f>
        <v>0</v>
      </c>
      <c r="W43" s="117">
        <f>Worksheet!$Q28</f>
        <v>0</v>
      </c>
      <c r="X43" s="117">
        <f>Worksheet!$K28</f>
        <v>0</v>
      </c>
      <c r="Z43" s="8"/>
      <c r="AA43" s="284"/>
      <c r="AB43" s="217"/>
    </row>
    <row r="44" spans="1:92" x14ac:dyDescent="0.25">
      <c r="H44">
        <f>Worksheet!$M29</f>
        <v>0</v>
      </c>
      <c r="I44" s="211">
        <f>IF(Worksheet!$D29&gt;0,((Worksheet!$H29+12)*Worksheet!$F29/1296),0)</f>
        <v>0</v>
      </c>
      <c r="L44" s="284" t="str">
        <f>Worksheet!$E29</f>
        <v>Tube 1.5</v>
      </c>
      <c r="M44" s="252">
        <f>IF(Worksheet!$D29&gt;0,Worksheet!$F29-1.375,0)</f>
        <v>0</v>
      </c>
      <c r="N44" s="252">
        <f t="shared" si="0"/>
        <v>0</v>
      </c>
      <c r="P44" s="117">
        <f>Worksheet!$P29</f>
        <v>0</v>
      </c>
      <c r="Q44" s="117">
        <f>Worksheet!$K29</f>
        <v>0</v>
      </c>
      <c r="R44" s="301">
        <f>Worksheet!$F29</f>
        <v>0</v>
      </c>
      <c r="T44" s="217">
        <f>Worksheet!$D29</f>
        <v>0</v>
      </c>
      <c r="U44" s="284" t="str">
        <f>Worksheet!$E29</f>
        <v>Tube 1.5</v>
      </c>
      <c r="V44" s="117">
        <f>Worksheet!$P29</f>
        <v>0</v>
      </c>
      <c r="W44" s="117">
        <f>Worksheet!$Q29</f>
        <v>0</v>
      </c>
      <c r="X44" s="117">
        <f>Worksheet!$K29</f>
        <v>0</v>
      </c>
      <c r="Z44" s="8"/>
      <c r="AA44" s="284"/>
      <c r="AB44" s="217"/>
    </row>
    <row r="45" spans="1:92" x14ac:dyDescent="0.25">
      <c r="A45" s="117" t="s">
        <v>2506</v>
      </c>
      <c r="B45" s="117"/>
      <c r="H45">
        <f>Worksheet!$M30</f>
        <v>0</v>
      </c>
      <c r="I45" s="211">
        <f>IF(Worksheet!$D30&gt;0,((Worksheet!$H30+12)*Worksheet!$F30/1296),0)</f>
        <v>0</v>
      </c>
      <c r="L45" s="284" t="str">
        <f>Worksheet!$E30</f>
        <v>Tube 1.5</v>
      </c>
      <c r="M45" s="252">
        <f>IF(Worksheet!$D30&gt;0,Worksheet!$F30-1.375,0)</f>
        <v>0</v>
      </c>
      <c r="N45" s="252">
        <f t="shared" si="0"/>
        <v>0</v>
      </c>
      <c r="P45" s="117">
        <f>Worksheet!$P30</f>
        <v>0</v>
      </c>
      <c r="Q45" s="117">
        <f>Worksheet!$K30</f>
        <v>0</v>
      </c>
      <c r="R45" s="301">
        <f>Worksheet!$F30</f>
        <v>0</v>
      </c>
      <c r="T45" s="217">
        <f>Worksheet!$D30</f>
        <v>0</v>
      </c>
      <c r="U45" s="284" t="str">
        <f>Worksheet!$E30</f>
        <v>Tube 1.5</v>
      </c>
      <c r="V45" s="117">
        <f>Worksheet!$P30</f>
        <v>0</v>
      </c>
      <c r="W45" s="117">
        <f>Worksheet!$Q30</f>
        <v>0</v>
      </c>
      <c r="X45" s="117">
        <f>Worksheet!$K30</f>
        <v>0</v>
      </c>
      <c r="Z45" s="8"/>
      <c r="AA45" s="284"/>
      <c r="AB45" s="217"/>
    </row>
    <row r="46" spans="1:92" x14ac:dyDescent="0.25">
      <c r="A46" s="117" t="s">
        <v>20</v>
      </c>
      <c r="C46" s="117"/>
      <c r="D46" s="117"/>
      <c r="E46" s="175" t="s">
        <v>2644</v>
      </c>
      <c r="F46" s="117"/>
      <c r="H46">
        <f>Worksheet!$M31</f>
        <v>0</v>
      </c>
      <c r="I46" s="211">
        <f>IF(Worksheet!$D31&gt;0,((Worksheet!$H31+12)*Worksheet!$F31/1296),0)</f>
        <v>0</v>
      </c>
      <c r="L46" s="284" t="str">
        <f>Worksheet!$E31</f>
        <v>Tube 1.5</v>
      </c>
      <c r="M46" s="252">
        <f>IF(Worksheet!$D31&gt;0,Worksheet!$F31-1.375,0)</f>
        <v>0</v>
      </c>
      <c r="N46" s="252">
        <f t="shared" si="0"/>
        <v>0</v>
      </c>
      <c r="P46" s="117">
        <f>Worksheet!$P31</f>
        <v>0</v>
      </c>
      <c r="Q46" s="117">
        <f>Worksheet!$K31</f>
        <v>0</v>
      </c>
      <c r="R46" s="301">
        <f>Worksheet!$F31</f>
        <v>0</v>
      </c>
      <c r="T46" s="217">
        <f>Worksheet!$D31</f>
        <v>0</v>
      </c>
      <c r="U46" s="284" t="str">
        <f>Worksheet!$E31</f>
        <v>Tube 1.5</v>
      </c>
      <c r="V46" s="117">
        <f>Worksheet!$P31</f>
        <v>0</v>
      </c>
      <c r="W46" s="117">
        <f>Worksheet!$Q31</f>
        <v>0</v>
      </c>
      <c r="X46" s="117">
        <f>Worksheet!$K31</f>
        <v>0</v>
      </c>
      <c r="Z46" s="8"/>
      <c r="AA46" s="284"/>
      <c r="AB46" s="217"/>
    </row>
    <row r="47" spans="1:92" x14ac:dyDescent="0.25">
      <c r="E47" s="131" t="s">
        <v>2645</v>
      </c>
      <c r="H47">
        <f>Worksheet!$M32</f>
        <v>0</v>
      </c>
      <c r="I47" s="211">
        <f>IF(Worksheet!$D32&gt;0,((Worksheet!$H32+12)*Worksheet!$F32/1296),0)</f>
        <v>0</v>
      </c>
      <c r="L47" s="284" t="str">
        <f>Worksheet!$E32</f>
        <v>Tube 1.5</v>
      </c>
      <c r="M47" s="252">
        <f>IF(Worksheet!$D32&gt;0,Worksheet!$F32-1.375,0)</f>
        <v>0</v>
      </c>
      <c r="N47" s="252">
        <f t="shared" si="0"/>
        <v>0</v>
      </c>
      <c r="P47" s="117">
        <f>Worksheet!$P32</f>
        <v>0</v>
      </c>
      <c r="Q47" s="117">
        <f>Worksheet!$K32</f>
        <v>0</v>
      </c>
      <c r="R47" s="301">
        <f>Worksheet!$F32</f>
        <v>0</v>
      </c>
      <c r="T47" s="217">
        <f>Worksheet!$D32</f>
        <v>0</v>
      </c>
      <c r="U47" s="284" t="str">
        <f>Worksheet!$E32</f>
        <v>Tube 1.5</v>
      </c>
      <c r="V47" s="117">
        <f>Worksheet!$P32</f>
        <v>0</v>
      </c>
      <c r="W47" s="117">
        <f>Worksheet!$Q32</f>
        <v>0</v>
      </c>
      <c r="X47" s="117">
        <f>Worksheet!$K32</f>
        <v>0</v>
      </c>
      <c r="Z47" s="8"/>
      <c r="AA47" s="284"/>
      <c r="AB47" s="217"/>
    </row>
    <row r="48" spans="1:92" x14ac:dyDescent="0.25">
      <c r="H48">
        <f>Worksheet!$M33</f>
        <v>0</v>
      </c>
      <c r="I48" s="211">
        <f>IF(Worksheet!$D33&gt;0,((Worksheet!$H33+12)*Worksheet!$F33/1296),0)</f>
        <v>0</v>
      </c>
      <c r="L48" s="284" t="str">
        <f>Worksheet!$E33</f>
        <v>Tube 1.5</v>
      </c>
      <c r="M48" s="252">
        <f>IF(Worksheet!$D33&gt;0,Worksheet!$F33-1.375,0)</f>
        <v>0</v>
      </c>
      <c r="N48" s="252">
        <f t="shared" si="0"/>
        <v>0</v>
      </c>
      <c r="P48" s="117">
        <f>Worksheet!$P33</f>
        <v>0</v>
      </c>
      <c r="Q48" s="117">
        <f>Worksheet!$K33</f>
        <v>0</v>
      </c>
      <c r="R48" s="301">
        <f>Worksheet!$F33</f>
        <v>0</v>
      </c>
      <c r="T48" s="217">
        <f>Worksheet!$D33</f>
        <v>0</v>
      </c>
      <c r="U48" s="284" t="str">
        <f>Worksheet!$E33</f>
        <v>Tube 1.5</v>
      </c>
      <c r="V48" s="117">
        <f>Worksheet!$P33</f>
        <v>0</v>
      </c>
      <c r="W48" s="117">
        <f>Worksheet!$Q33</f>
        <v>0</v>
      </c>
      <c r="X48" s="117">
        <f>Worksheet!$K33</f>
        <v>0</v>
      </c>
      <c r="Z48" s="8"/>
      <c r="AA48" s="284"/>
      <c r="AB48" s="217"/>
    </row>
    <row r="49" spans="1:28" x14ac:dyDescent="0.25">
      <c r="A49" s="117" t="s">
        <v>28</v>
      </c>
      <c r="B49" s="175" t="s">
        <v>2560</v>
      </c>
      <c r="H49">
        <f>Worksheet!$M34</f>
        <v>0</v>
      </c>
      <c r="I49" s="211">
        <f>IF(Worksheet!$D34&gt;0,((Worksheet!$H34+12)*Worksheet!$F34/1296),0)</f>
        <v>0</v>
      </c>
      <c r="L49" s="284" t="str">
        <f>Worksheet!$E34</f>
        <v>Tube 1.5</v>
      </c>
      <c r="M49" s="252">
        <f>IF(Worksheet!$D34&gt;0,Worksheet!$F34-1.375,0)</f>
        <v>0</v>
      </c>
      <c r="N49" s="252">
        <f t="shared" si="0"/>
        <v>0</v>
      </c>
      <c r="P49" s="117">
        <f>Worksheet!$P34</f>
        <v>0</v>
      </c>
      <c r="Q49" s="117">
        <f>Worksheet!$K34</f>
        <v>0</v>
      </c>
      <c r="R49" s="301">
        <f>Worksheet!$F34</f>
        <v>0</v>
      </c>
      <c r="T49" s="217">
        <f>Worksheet!$D34</f>
        <v>0</v>
      </c>
      <c r="U49" s="284" t="str">
        <f>Worksheet!$E34</f>
        <v>Tube 1.5</v>
      </c>
      <c r="V49" s="117">
        <f>Worksheet!$P34</f>
        <v>0</v>
      </c>
      <c r="W49" s="117">
        <f>Worksheet!$Q34</f>
        <v>0</v>
      </c>
      <c r="X49" s="117">
        <f>Worksheet!$K34</f>
        <v>0</v>
      </c>
      <c r="Z49" s="8"/>
      <c r="AA49" s="284"/>
      <c r="AB49" s="217"/>
    </row>
    <row r="50" spans="1:28" x14ac:dyDescent="0.25">
      <c r="B50" s="130" t="s">
        <v>2561</v>
      </c>
      <c r="H50">
        <f>Worksheet!$M35</f>
        <v>0</v>
      </c>
      <c r="I50" s="211">
        <f>IF(Worksheet!$D35&gt;0,((Worksheet!$H35+12)*Worksheet!$F35/1296),0)</f>
        <v>0</v>
      </c>
      <c r="L50" s="284" t="str">
        <f>Worksheet!$E35</f>
        <v>Tube 1.5</v>
      </c>
      <c r="M50" s="252">
        <f>IF(Worksheet!$D35&gt;0,Worksheet!$F35-1.375,0)</f>
        <v>0</v>
      </c>
      <c r="N50" s="252">
        <f t="shared" si="0"/>
        <v>0</v>
      </c>
      <c r="P50" s="117">
        <f>Worksheet!$P35</f>
        <v>0</v>
      </c>
      <c r="Q50" s="117">
        <f>Worksheet!$K35</f>
        <v>0</v>
      </c>
      <c r="R50" s="301">
        <f>Worksheet!$F35</f>
        <v>0</v>
      </c>
      <c r="T50" s="217">
        <f>Worksheet!$D35</f>
        <v>0</v>
      </c>
      <c r="U50" s="284" t="str">
        <f>Worksheet!$E35</f>
        <v>Tube 1.5</v>
      </c>
      <c r="V50" s="117">
        <f>Worksheet!$P35</f>
        <v>0</v>
      </c>
      <c r="W50" s="117">
        <f>Worksheet!$Q35</f>
        <v>0</v>
      </c>
      <c r="X50" s="117">
        <f>Worksheet!$K35</f>
        <v>0</v>
      </c>
      <c r="Z50" s="8"/>
      <c r="AA50" s="284"/>
      <c r="AB50" s="217"/>
    </row>
    <row r="51" spans="1:28" x14ac:dyDescent="0.25">
      <c r="B51" s="130" t="s">
        <v>2562</v>
      </c>
      <c r="H51">
        <f>Worksheet!$M36</f>
        <v>0</v>
      </c>
      <c r="I51" s="211">
        <f>IF(Worksheet!$D36&gt;0,((Worksheet!$H36+12)*Worksheet!$F36/1296),0)</f>
        <v>0</v>
      </c>
      <c r="L51" s="284" t="str">
        <f>Worksheet!$E36</f>
        <v>Tube 1.5</v>
      </c>
      <c r="M51" s="252">
        <f>IF(Worksheet!$D36&gt;0,Worksheet!$F36-1.375,0)</f>
        <v>0</v>
      </c>
      <c r="N51" s="252">
        <f t="shared" si="0"/>
        <v>0</v>
      </c>
      <c r="P51" s="117">
        <f>Worksheet!$P36</f>
        <v>0</v>
      </c>
      <c r="Q51" s="117">
        <f>Worksheet!$K36</f>
        <v>0</v>
      </c>
      <c r="R51" s="301">
        <f>Worksheet!$F36</f>
        <v>0</v>
      </c>
      <c r="T51" s="217">
        <f>Worksheet!$D36</f>
        <v>0</v>
      </c>
      <c r="U51" s="284" t="str">
        <f>Worksheet!$E36</f>
        <v>Tube 1.5</v>
      </c>
      <c r="V51" s="117">
        <f>Worksheet!$P36</f>
        <v>0</v>
      </c>
      <c r="W51" s="117">
        <f>Worksheet!$Q36</f>
        <v>0</v>
      </c>
      <c r="X51" s="117">
        <f>Worksheet!$K36</f>
        <v>0</v>
      </c>
      <c r="Z51" s="8"/>
      <c r="AA51" s="284"/>
      <c r="AB51" s="217"/>
    </row>
    <row r="52" spans="1:28" x14ac:dyDescent="0.25">
      <c r="B52" s="130" t="s">
        <v>2563</v>
      </c>
      <c r="H52">
        <f>Worksheet!$M37</f>
        <v>0</v>
      </c>
      <c r="I52" s="211">
        <f>IF(Worksheet!$D37&gt;0,((Worksheet!$H37+12)*Worksheet!$F37/1296),0)</f>
        <v>0</v>
      </c>
      <c r="L52" s="284" t="str">
        <f>Worksheet!$E37</f>
        <v>Tube 1.5</v>
      </c>
      <c r="M52" s="252">
        <f>IF(Worksheet!$D37&gt;0,Worksheet!$F37-1.375,0)</f>
        <v>0</v>
      </c>
      <c r="N52" s="252">
        <f t="shared" si="0"/>
        <v>0</v>
      </c>
      <c r="P52" s="117">
        <f>Worksheet!$P37</f>
        <v>0</v>
      </c>
      <c r="Q52" s="117">
        <f>Worksheet!$K37</f>
        <v>0</v>
      </c>
      <c r="R52" s="301">
        <f>Worksheet!$F37</f>
        <v>0</v>
      </c>
      <c r="T52" s="217">
        <f>Worksheet!$D37</f>
        <v>0</v>
      </c>
      <c r="U52" s="284" t="str">
        <f>Worksheet!$E37</f>
        <v>Tube 1.5</v>
      </c>
      <c r="V52" s="117">
        <f>Worksheet!$P37</f>
        <v>0</v>
      </c>
      <c r="W52" s="117">
        <f>Worksheet!$Q37</f>
        <v>0</v>
      </c>
      <c r="X52" s="117">
        <f>Worksheet!$K37</f>
        <v>0</v>
      </c>
      <c r="Z52" s="8"/>
      <c r="AA52" s="284"/>
      <c r="AB52" s="217"/>
    </row>
    <row r="53" spans="1:28" x14ac:dyDescent="0.25">
      <c r="B53" s="130" t="s">
        <v>2516</v>
      </c>
      <c r="H53">
        <f>Worksheet!$M38</f>
        <v>0</v>
      </c>
      <c r="I53" s="211">
        <f>IF(Worksheet!$D38&gt;0,((Worksheet!$H38+12)*Worksheet!$F38/1296),0)</f>
        <v>0</v>
      </c>
      <c r="L53" s="284" t="str">
        <f>Worksheet!$E38</f>
        <v>Tube 1.5</v>
      </c>
      <c r="M53" s="252">
        <f>IF(Worksheet!$D38&gt;0,Worksheet!$F38-1.375,0)</f>
        <v>0</v>
      </c>
      <c r="N53" s="252">
        <f t="shared" si="0"/>
        <v>0</v>
      </c>
      <c r="P53" s="117">
        <f>Worksheet!$P38</f>
        <v>0</v>
      </c>
      <c r="Q53" s="117">
        <f>Worksheet!$K38</f>
        <v>0</v>
      </c>
      <c r="R53" s="301">
        <f>Worksheet!$F38</f>
        <v>0</v>
      </c>
      <c r="T53" s="217">
        <f>Worksheet!$D38</f>
        <v>0</v>
      </c>
      <c r="U53" s="284" t="str">
        <f>Worksheet!$E38</f>
        <v>Tube 1.5</v>
      </c>
      <c r="V53" s="117">
        <f>Worksheet!$P38</f>
        <v>0</v>
      </c>
      <c r="W53" s="117">
        <f>Worksheet!$Q38</f>
        <v>0</v>
      </c>
      <c r="X53" s="117">
        <f>Worksheet!$K38</f>
        <v>0</v>
      </c>
      <c r="Z53" s="8"/>
      <c r="AA53" s="284"/>
      <c r="AB53" s="217"/>
    </row>
    <row r="54" spans="1:28" x14ac:dyDescent="0.25">
      <c r="B54" s="131" t="s">
        <v>2599</v>
      </c>
      <c r="H54">
        <f>Worksheet!$M39</f>
        <v>0</v>
      </c>
      <c r="I54" s="211">
        <f>IF(Worksheet!$D39&gt;0,((Worksheet!$H39+12)*Worksheet!$F39/1296),0)</f>
        <v>0</v>
      </c>
      <c r="L54" s="284" t="str">
        <f>Worksheet!$E39</f>
        <v>Tube 1.5</v>
      </c>
      <c r="M54" s="252">
        <f>IF(Worksheet!$D39&gt;0,Worksheet!$F39-1.375,0)</f>
        <v>0</v>
      </c>
      <c r="N54" s="252">
        <f t="shared" si="0"/>
        <v>0</v>
      </c>
      <c r="P54" s="117">
        <f>Worksheet!$P39</f>
        <v>0</v>
      </c>
      <c r="Q54" s="117">
        <f>Worksheet!$K39</f>
        <v>0</v>
      </c>
      <c r="R54" s="301">
        <f>Worksheet!$F39</f>
        <v>0</v>
      </c>
      <c r="T54" s="217">
        <f>Worksheet!$D39</f>
        <v>0</v>
      </c>
      <c r="U54" s="284" t="str">
        <f>Worksheet!$E39</f>
        <v>Tube 1.5</v>
      </c>
      <c r="V54" s="117">
        <f>Worksheet!$P39</f>
        <v>0</v>
      </c>
      <c r="W54" s="117">
        <f>Worksheet!$Q39</f>
        <v>0</v>
      </c>
      <c r="X54" s="117">
        <f>Worksheet!$K39</f>
        <v>0</v>
      </c>
      <c r="Z54" s="8"/>
      <c r="AA54" s="284"/>
      <c r="AB54" s="217"/>
    </row>
    <row r="55" spans="1:28" x14ac:dyDescent="0.25">
      <c r="H55" s="1">
        <f>Worksheet!$M40</f>
        <v>0</v>
      </c>
      <c r="I55" s="298">
        <f>IF(Worksheet!$D40&gt;0,((Worksheet!$H40+12)*Worksheet!$F40/1296),0)</f>
        <v>0</v>
      </c>
      <c r="L55" s="299" t="str">
        <f>Worksheet!$E40</f>
        <v>Tube 1.5</v>
      </c>
      <c r="M55" s="300">
        <f>IF(Worksheet!$D40&gt;0,Worksheet!$F40-1.375,0)</f>
        <v>0</v>
      </c>
      <c r="N55" s="300">
        <f t="shared" si="0"/>
        <v>0</v>
      </c>
      <c r="P55" s="256">
        <f>Worksheet!$P40</f>
        <v>0</v>
      </c>
      <c r="Q55" s="256">
        <f>Worksheet!$K40</f>
        <v>0</v>
      </c>
      <c r="R55" s="302">
        <f>Worksheet!$F40</f>
        <v>0</v>
      </c>
      <c r="T55" s="277">
        <f>Worksheet!$D40</f>
        <v>0</v>
      </c>
      <c r="U55" s="299" t="str">
        <f>Worksheet!$E40</f>
        <v>Tube 1.5</v>
      </c>
      <c r="V55" s="256">
        <f>Worksheet!$P40</f>
        <v>0</v>
      </c>
      <c r="W55" s="256">
        <f>Worksheet!$Q40</f>
        <v>0</v>
      </c>
      <c r="X55" s="256">
        <f>Worksheet!$K40</f>
        <v>0</v>
      </c>
      <c r="Z55" s="8"/>
      <c r="AA55" s="284"/>
      <c r="AB55" s="217"/>
    </row>
    <row r="56" spans="1:28" x14ac:dyDescent="0.25">
      <c r="H56" t="e">
        <f>#REF!</f>
        <v>#REF!</v>
      </c>
      <c r="I56" s="211" t="e">
        <f>IF(#REF!&gt;0,((#REF!+12)*#REF!/1296),0)</f>
        <v>#REF!</v>
      </c>
      <c r="L56" s="6" t="e">
        <f>#REF!</f>
        <v>#REF!</v>
      </c>
      <c r="M56" s="252" t="e">
        <f>IF(#REF!&gt;0,#REF!-1.375,0)</f>
        <v>#REF!</v>
      </c>
      <c r="N56" s="252" t="e">
        <f>IF($M56&gt;0,$M56-2.5,0)</f>
        <v>#REF!</v>
      </c>
      <c r="P56" t="e">
        <f>#REF!</f>
        <v>#REF!</v>
      </c>
      <c r="Q56" s="117" t="e">
        <f>#REF!</f>
        <v>#REF!</v>
      </c>
      <c r="R56" s="6" t="e">
        <f>#REF!</f>
        <v>#REF!</v>
      </c>
      <c r="T56" s="8" t="e">
        <f>#REF!</f>
        <v>#REF!</v>
      </c>
      <c r="U56" s="6" t="e">
        <f>#REF!</f>
        <v>#REF!</v>
      </c>
      <c r="V56" t="e">
        <f>#REF!</f>
        <v>#REF!</v>
      </c>
      <c r="W56" t="e">
        <f>#REF!</f>
        <v>#REF!</v>
      </c>
      <c r="X56" s="117" t="e">
        <f>#REF!</f>
        <v>#REF!</v>
      </c>
      <c r="AB56" s="8"/>
    </row>
    <row r="57" spans="1:28" x14ac:dyDescent="0.25">
      <c r="H57" t="e">
        <f>#REF!</f>
        <v>#REF!</v>
      </c>
      <c r="I57" s="211" t="e">
        <f>IF(#REF!&gt;0,((#REF!+12)*#REF!/1296),0)</f>
        <v>#REF!</v>
      </c>
      <c r="L57" s="6" t="e">
        <f>#REF!</f>
        <v>#REF!</v>
      </c>
      <c r="M57" s="252" t="e">
        <f>IF(#REF!&gt;0,#REF!-1.375,0)</f>
        <v>#REF!</v>
      </c>
      <c r="N57" s="252" t="e">
        <f t="shared" ref="N57:N80" si="1">IF($M57&gt;0,$M57-2.5,0)</f>
        <v>#REF!</v>
      </c>
      <c r="P57" t="e">
        <f>#REF!</f>
        <v>#REF!</v>
      </c>
      <c r="Q57" s="117" t="e">
        <f>#REF!</f>
        <v>#REF!</v>
      </c>
      <c r="R57" s="6" t="e">
        <f>#REF!</f>
        <v>#REF!</v>
      </c>
      <c r="T57" s="8" t="e">
        <f>#REF!</f>
        <v>#REF!</v>
      </c>
      <c r="U57" s="6" t="e">
        <f>#REF!</f>
        <v>#REF!</v>
      </c>
      <c r="V57" t="e">
        <f>#REF!</f>
        <v>#REF!</v>
      </c>
      <c r="W57" t="e">
        <f>#REF!</f>
        <v>#REF!</v>
      </c>
      <c r="X57" s="117" t="e">
        <f>#REF!</f>
        <v>#REF!</v>
      </c>
    </row>
    <row r="58" spans="1:28" x14ac:dyDescent="0.25">
      <c r="H58" t="e">
        <f>#REF!</f>
        <v>#REF!</v>
      </c>
      <c r="I58" s="211" t="e">
        <f>IF(#REF!&gt;0,((#REF!+12)*#REF!/1296),0)</f>
        <v>#REF!</v>
      </c>
      <c r="L58" s="6" t="e">
        <f>#REF!</f>
        <v>#REF!</v>
      </c>
      <c r="M58" s="252" t="e">
        <f>IF(#REF!&gt;0,#REF!-1.375,0)</f>
        <v>#REF!</v>
      </c>
      <c r="N58" s="252" t="e">
        <f t="shared" si="1"/>
        <v>#REF!</v>
      </c>
      <c r="P58" t="e">
        <f>#REF!</f>
        <v>#REF!</v>
      </c>
      <c r="Q58" s="117" t="e">
        <f>#REF!</f>
        <v>#REF!</v>
      </c>
      <c r="R58" s="6" t="e">
        <f>#REF!</f>
        <v>#REF!</v>
      </c>
      <c r="T58" s="8" t="e">
        <f>#REF!</f>
        <v>#REF!</v>
      </c>
      <c r="U58" s="6" t="e">
        <f>#REF!</f>
        <v>#REF!</v>
      </c>
      <c r="V58" t="e">
        <f>#REF!</f>
        <v>#REF!</v>
      </c>
      <c r="W58" t="e">
        <f>#REF!</f>
        <v>#REF!</v>
      </c>
      <c r="X58" s="117" t="e">
        <f>#REF!</f>
        <v>#REF!</v>
      </c>
    </row>
    <row r="59" spans="1:28" x14ac:dyDescent="0.25">
      <c r="H59" t="e">
        <f>#REF!</f>
        <v>#REF!</v>
      </c>
      <c r="I59" s="211" t="e">
        <f>IF(#REF!&gt;0,((#REF!+12)*#REF!/1296),0)</f>
        <v>#REF!</v>
      </c>
      <c r="L59" s="6" t="e">
        <f>#REF!</f>
        <v>#REF!</v>
      </c>
      <c r="M59" s="252" t="e">
        <f>IF(#REF!&gt;0,#REF!-1.375,0)</f>
        <v>#REF!</v>
      </c>
      <c r="N59" s="252" t="e">
        <f t="shared" si="1"/>
        <v>#REF!</v>
      </c>
      <c r="P59" t="e">
        <f>#REF!</f>
        <v>#REF!</v>
      </c>
      <c r="Q59" s="117" t="e">
        <f>#REF!</f>
        <v>#REF!</v>
      </c>
      <c r="R59" s="6" t="e">
        <f>#REF!</f>
        <v>#REF!</v>
      </c>
      <c r="T59" s="8" t="e">
        <f>#REF!</f>
        <v>#REF!</v>
      </c>
      <c r="U59" s="6" t="e">
        <f>#REF!</f>
        <v>#REF!</v>
      </c>
      <c r="V59" t="e">
        <f>#REF!</f>
        <v>#REF!</v>
      </c>
      <c r="W59" t="e">
        <f>#REF!</f>
        <v>#REF!</v>
      </c>
      <c r="X59" s="117" t="e">
        <f>#REF!</f>
        <v>#REF!</v>
      </c>
    </row>
    <row r="60" spans="1:28" x14ac:dyDescent="0.25">
      <c r="H60" t="e">
        <f>#REF!</f>
        <v>#REF!</v>
      </c>
      <c r="I60" s="211" t="e">
        <f>IF(#REF!&gt;0,((#REF!+12)*#REF!/1296),0)</f>
        <v>#REF!</v>
      </c>
      <c r="L60" s="6" t="e">
        <f>#REF!</f>
        <v>#REF!</v>
      </c>
      <c r="M60" s="252" t="e">
        <f>IF(#REF!&gt;0,#REF!-1.375,0)</f>
        <v>#REF!</v>
      </c>
      <c r="N60" s="252" t="e">
        <f t="shared" si="1"/>
        <v>#REF!</v>
      </c>
      <c r="P60" t="e">
        <f>#REF!</f>
        <v>#REF!</v>
      </c>
      <c r="Q60" s="117" t="e">
        <f>#REF!</f>
        <v>#REF!</v>
      </c>
      <c r="R60" s="6" t="e">
        <f>#REF!</f>
        <v>#REF!</v>
      </c>
      <c r="T60" s="8" t="e">
        <f>#REF!</f>
        <v>#REF!</v>
      </c>
      <c r="U60" s="6" t="e">
        <f>#REF!</f>
        <v>#REF!</v>
      </c>
      <c r="V60" t="e">
        <f>#REF!</f>
        <v>#REF!</v>
      </c>
      <c r="W60" t="e">
        <f>#REF!</f>
        <v>#REF!</v>
      </c>
      <c r="X60" s="117" t="e">
        <f>#REF!</f>
        <v>#REF!</v>
      </c>
    </row>
    <row r="61" spans="1:28" x14ac:dyDescent="0.25">
      <c r="H61" t="e">
        <f>#REF!</f>
        <v>#REF!</v>
      </c>
      <c r="I61" s="211" t="e">
        <f>IF(#REF!&gt;0,((#REF!+12)*#REF!/1296),0)</f>
        <v>#REF!</v>
      </c>
      <c r="L61" s="6" t="e">
        <f>#REF!</f>
        <v>#REF!</v>
      </c>
      <c r="M61" s="252" t="e">
        <f>IF(#REF!&gt;0,#REF!-1.375,0)</f>
        <v>#REF!</v>
      </c>
      <c r="N61" s="252" t="e">
        <f t="shared" si="1"/>
        <v>#REF!</v>
      </c>
      <c r="P61" t="e">
        <f>#REF!</f>
        <v>#REF!</v>
      </c>
      <c r="Q61" s="117" t="e">
        <f>#REF!</f>
        <v>#REF!</v>
      </c>
      <c r="R61" s="6" t="e">
        <f>#REF!</f>
        <v>#REF!</v>
      </c>
      <c r="T61" s="8" t="e">
        <f>#REF!</f>
        <v>#REF!</v>
      </c>
      <c r="U61" s="6" t="e">
        <f>#REF!</f>
        <v>#REF!</v>
      </c>
      <c r="V61" t="e">
        <f>#REF!</f>
        <v>#REF!</v>
      </c>
      <c r="W61" t="e">
        <f>#REF!</f>
        <v>#REF!</v>
      </c>
      <c r="X61" s="117" t="e">
        <f>#REF!</f>
        <v>#REF!</v>
      </c>
    </row>
    <row r="62" spans="1:28" x14ac:dyDescent="0.25">
      <c r="H62" t="e">
        <f>#REF!</f>
        <v>#REF!</v>
      </c>
      <c r="I62" s="211" t="e">
        <f>IF(#REF!&gt;0,((#REF!+12)*#REF!/1296),0)</f>
        <v>#REF!</v>
      </c>
      <c r="L62" s="6" t="e">
        <f>#REF!</f>
        <v>#REF!</v>
      </c>
      <c r="M62" s="252" t="e">
        <f>IF(#REF!&gt;0,#REF!-1.375,0)</f>
        <v>#REF!</v>
      </c>
      <c r="N62" s="252" t="e">
        <f t="shared" si="1"/>
        <v>#REF!</v>
      </c>
      <c r="P62" t="e">
        <f>#REF!</f>
        <v>#REF!</v>
      </c>
      <c r="Q62" s="117" t="e">
        <f>#REF!</f>
        <v>#REF!</v>
      </c>
      <c r="R62" s="6" t="e">
        <f>#REF!</f>
        <v>#REF!</v>
      </c>
      <c r="T62" s="8" t="e">
        <f>#REF!</f>
        <v>#REF!</v>
      </c>
      <c r="U62" s="6" t="e">
        <f>#REF!</f>
        <v>#REF!</v>
      </c>
      <c r="V62" t="e">
        <f>#REF!</f>
        <v>#REF!</v>
      </c>
      <c r="W62" t="e">
        <f>#REF!</f>
        <v>#REF!</v>
      </c>
      <c r="X62" s="117" t="e">
        <f>#REF!</f>
        <v>#REF!</v>
      </c>
    </row>
    <row r="63" spans="1:28" x14ac:dyDescent="0.25">
      <c r="H63" t="e">
        <f>#REF!</f>
        <v>#REF!</v>
      </c>
      <c r="I63" s="211" t="e">
        <f>IF(#REF!&gt;0,((#REF!+12)*#REF!/1296),0)</f>
        <v>#REF!</v>
      </c>
      <c r="L63" s="6" t="e">
        <f>#REF!</f>
        <v>#REF!</v>
      </c>
      <c r="M63" s="252" t="e">
        <f>IF(#REF!&gt;0,#REF!-1.375,0)</f>
        <v>#REF!</v>
      </c>
      <c r="N63" s="252" t="e">
        <f t="shared" si="1"/>
        <v>#REF!</v>
      </c>
      <c r="P63" t="e">
        <f>#REF!</f>
        <v>#REF!</v>
      </c>
      <c r="Q63" s="117" t="e">
        <f>#REF!</f>
        <v>#REF!</v>
      </c>
      <c r="R63" s="6" t="e">
        <f>#REF!</f>
        <v>#REF!</v>
      </c>
      <c r="T63" s="8" t="e">
        <f>#REF!</f>
        <v>#REF!</v>
      </c>
      <c r="U63" s="6" t="e">
        <f>#REF!</f>
        <v>#REF!</v>
      </c>
      <c r="V63" t="e">
        <f>#REF!</f>
        <v>#REF!</v>
      </c>
      <c r="W63" t="e">
        <f>#REF!</f>
        <v>#REF!</v>
      </c>
      <c r="X63" s="117" t="e">
        <f>#REF!</f>
        <v>#REF!</v>
      </c>
    </row>
    <row r="64" spans="1:28" x14ac:dyDescent="0.25">
      <c r="H64" t="e">
        <f>#REF!</f>
        <v>#REF!</v>
      </c>
      <c r="I64" s="211" t="e">
        <f>IF(#REF!&gt;0,((#REF!+12)*#REF!/1296),0)</f>
        <v>#REF!</v>
      </c>
      <c r="L64" s="6" t="e">
        <f>#REF!</f>
        <v>#REF!</v>
      </c>
      <c r="M64" s="252" t="e">
        <f>IF(#REF!&gt;0,#REF!-1.375,0)</f>
        <v>#REF!</v>
      </c>
      <c r="N64" s="252" t="e">
        <f t="shared" si="1"/>
        <v>#REF!</v>
      </c>
      <c r="P64" t="e">
        <f>#REF!</f>
        <v>#REF!</v>
      </c>
      <c r="Q64" s="117" t="e">
        <f>#REF!</f>
        <v>#REF!</v>
      </c>
      <c r="R64" s="6" t="e">
        <f>#REF!</f>
        <v>#REF!</v>
      </c>
      <c r="T64" s="8" t="e">
        <f>#REF!</f>
        <v>#REF!</v>
      </c>
      <c r="U64" s="6" t="e">
        <f>#REF!</f>
        <v>#REF!</v>
      </c>
      <c r="V64" t="e">
        <f>#REF!</f>
        <v>#REF!</v>
      </c>
      <c r="W64" t="e">
        <f>#REF!</f>
        <v>#REF!</v>
      </c>
      <c r="X64" s="117" t="e">
        <f>#REF!</f>
        <v>#REF!</v>
      </c>
    </row>
    <row r="65" spans="8:24" x14ac:dyDescent="0.25">
      <c r="H65" t="e">
        <f>#REF!</f>
        <v>#REF!</v>
      </c>
      <c r="I65" s="211" t="e">
        <f>IF(#REF!&gt;0,((#REF!+12)*#REF!/1296),0)</f>
        <v>#REF!</v>
      </c>
      <c r="L65" s="6" t="e">
        <f>#REF!</f>
        <v>#REF!</v>
      </c>
      <c r="M65" s="252" t="e">
        <f>IF(#REF!&gt;0,#REF!-1.375,0)</f>
        <v>#REF!</v>
      </c>
      <c r="N65" s="252" t="e">
        <f t="shared" si="1"/>
        <v>#REF!</v>
      </c>
      <c r="P65" t="e">
        <f>#REF!</f>
        <v>#REF!</v>
      </c>
      <c r="Q65" s="117" t="e">
        <f>#REF!</f>
        <v>#REF!</v>
      </c>
      <c r="R65" s="6" t="e">
        <f>#REF!</f>
        <v>#REF!</v>
      </c>
      <c r="T65" s="8" t="e">
        <f>#REF!</f>
        <v>#REF!</v>
      </c>
      <c r="U65" s="6" t="e">
        <f>#REF!</f>
        <v>#REF!</v>
      </c>
      <c r="V65" t="e">
        <f>#REF!</f>
        <v>#REF!</v>
      </c>
      <c r="W65" t="e">
        <f>#REF!</f>
        <v>#REF!</v>
      </c>
      <c r="X65" s="117" t="e">
        <f>#REF!</f>
        <v>#REF!</v>
      </c>
    </row>
    <row r="66" spans="8:24" x14ac:dyDescent="0.25">
      <c r="H66" t="e">
        <f>#REF!</f>
        <v>#REF!</v>
      </c>
      <c r="I66" s="211" t="e">
        <f>IF(#REF!&gt;0,((#REF!+12)*#REF!/1296),0)</f>
        <v>#REF!</v>
      </c>
      <c r="L66" s="6" t="e">
        <f>#REF!</f>
        <v>#REF!</v>
      </c>
      <c r="M66" s="252" t="e">
        <f>IF(#REF!&gt;0,#REF!-1.375,0)</f>
        <v>#REF!</v>
      </c>
      <c r="N66" s="252" t="e">
        <f t="shared" si="1"/>
        <v>#REF!</v>
      </c>
      <c r="P66" t="e">
        <f>#REF!</f>
        <v>#REF!</v>
      </c>
      <c r="Q66" s="117" t="e">
        <f>#REF!</f>
        <v>#REF!</v>
      </c>
      <c r="R66" s="6" t="e">
        <f>#REF!</f>
        <v>#REF!</v>
      </c>
      <c r="T66" s="8" t="e">
        <f>#REF!</f>
        <v>#REF!</v>
      </c>
      <c r="U66" s="6" t="e">
        <f>#REF!</f>
        <v>#REF!</v>
      </c>
      <c r="V66" t="e">
        <f>#REF!</f>
        <v>#REF!</v>
      </c>
      <c r="W66" t="e">
        <f>#REF!</f>
        <v>#REF!</v>
      </c>
      <c r="X66" s="117" t="e">
        <f>#REF!</f>
        <v>#REF!</v>
      </c>
    </row>
    <row r="67" spans="8:24" x14ac:dyDescent="0.25">
      <c r="H67" t="e">
        <f>#REF!</f>
        <v>#REF!</v>
      </c>
      <c r="I67" s="211" t="e">
        <f>IF(#REF!&gt;0,((#REF!+12)*#REF!/1296),0)</f>
        <v>#REF!</v>
      </c>
      <c r="L67" s="6" t="e">
        <f>#REF!</f>
        <v>#REF!</v>
      </c>
      <c r="M67" s="252" t="e">
        <f>IF(#REF!&gt;0,#REF!-1.375,0)</f>
        <v>#REF!</v>
      </c>
      <c r="N67" s="252" t="e">
        <f t="shared" si="1"/>
        <v>#REF!</v>
      </c>
      <c r="P67" t="e">
        <f>#REF!</f>
        <v>#REF!</v>
      </c>
      <c r="Q67" s="117" t="e">
        <f>#REF!</f>
        <v>#REF!</v>
      </c>
      <c r="R67" s="6" t="e">
        <f>#REF!</f>
        <v>#REF!</v>
      </c>
      <c r="T67" s="8" t="e">
        <f>#REF!</f>
        <v>#REF!</v>
      </c>
      <c r="U67" s="6" t="e">
        <f>#REF!</f>
        <v>#REF!</v>
      </c>
      <c r="V67" t="e">
        <f>#REF!</f>
        <v>#REF!</v>
      </c>
      <c r="W67" t="e">
        <f>#REF!</f>
        <v>#REF!</v>
      </c>
      <c r="X67" s="117" t="e">
        <f>#REF!</f>
        <v>#REF!</v>
      </c>
    </row>
    <row r="68" spans="8:24" x14ac:dyDescent="0.25">
      <c r="H68" t="e">
        <f>#REF!</f>
        <v>#REF!</v>
      </c>
      <c r="I68" s="211" t="e">
        <f>IF(#REF!&gt;0,((#REF!+12)*#REF!/1296),0)</f>
        <v>#REF!</v>
      </c>
      <c r="L68" s="6" t="e">
        <f>#REF!</f>
        <v>#REF!</v>
      </c>
      <c r="M68" s="252" t="e">
        <f>IF(#REF!&gt;0,#REF!-1.375,0)</f>
        <v>#REF!</v>
      </c>
      <c r="N68" s="252" t="e">
        <f t="shared" si="1"/>
        <v>#REF!</v>
      </c>
      <c r="P68" t="e">
        <f>#REF!</f>
        <v>#REF!</v>
      </c>
      <c r="Q68" s="117" t="e">
        <f>#REF!</f>
        <v>#REF!</v>
      </c>
      <c r="R68" s="6" t="e">
        <f>#REF!</f>
        <v>#REF!</v>
      </c>
      <c r="T68" s="8" t="e">
        <f>#REF!</f>
        <v>#REF!</v>
      </c>
      <c r="U68" s="6" t="e">
        <f>#REF!</f>
        <v>#REF!</v>
      </c>
      <c r="V68" t="e">
        <f>#REF!</f>
        <v>#REF!</v>
      </c>
      <c r="W68" t="e">
        <f>#REF!</f>
        <v>#REF!</v>
      </c>
      <c r="X68" s="117" t="e">
        <f>#REF!</f>
        <v>#REF!</v>
      </c>
    </row>
    <row r="69" spans="8:24" x14ac:dyDescent="0.25">
      <c r="H69" t="e">
        <f>#REF!</f>
        <v>#REF!</v>
      </c>
      <c r="I69" s="211" t="e">
        <f>IF(#REF!&gt;0,((#REF!+12)*#REF!/1296),0)</f>
        <v>#REF!</v>
      </c>
      <c r="L69" s="6" t="e">
        <f>#REF!</f>
        <v>#REF!</v>
      </c>
      <c r="M69" s="252" t="e">
        <f>IF(#REF!&gt;0,#REF!-1.375,0)</f>
        <v>#REF!</v>
      </c>
      <c r="N69" s="252" t="e">
        <f t="shared" si="1"/>
        <v>#REF!</v>
      </c>
      <c r="P69" t="e">
        <f>#REF!</f>
        <v>#REF!</v>
      </c>
      <c r="Q69" s="117" t="e">
        <f>#REF!</f>
        <v>#REF!</v>
      </c>
      <c r="R69" s="6" t="e">
        <f>#REF!</f>
        <v>#REF!</v>
      </c>
      <c r="T69" s="8" t="e">
        <f>#REF!</f>
        <v>#REF!</v>
      </c>
      <c r="U69" s="6" t="e">
        <f>#REF!</f>
        <v>#REF!</v>
      </c>
      <c r="V69" t="e">
        <f>#REF!</f>
        <v>#REF!</v>
      </c>
      <c r="W69" t="e">
        <f>#REF!</f>
        <v>#REF!</v>
      </c>
      <c r="X69" s="117" t="e">
        <f>#REF!</f>
        <v>#REF!</v>
      </c>
    </row>
    <row r="70" spans="8:24" x14ac:dyDescent="0.25">
      <c r="H70" t="e">
        <f>#REF!</f>
        <v>#REF!</v>
      </c>
      <c r="I70" s="211" t="e">
        <f>IF(#REF!&gt;0,((#REF!+12)*#REF!/1296),0)</f>
        <v>#REF!</v>
      </c>
      <c r="L70" s="6" t="e">
        <f>#REF!</f>
        <v>#REF!</v>
      </c>
      <c r="M70" s="252" t="e">
        <f>IF(#REF!&gt;0,#REF!-1.375,0)</f>
        <v>#REF!</v>
      </c>
      <c r="N70" s="252" t="e">
        <f t="shared" si="1"/>
        <v>#REF!</v>
      </c>
      <c r="P70" t="e">
        <f>#REF!</f>
        <v>#REF!</v>
      </c>
      <c r="Q70" s="117" t="e">
        <f>#REF!</f>
        <v>#REF!</v>
      </c>
      <c r="R70" s="6" t="e">
        <f>#REF!</f>
        <v>#REF!</v>
      </c>
      <c r="T70" s="8" t="e">
        <f>#REF!</f>
        <v>#REF!</v>
      </c>
      <c r="U70" s="6" t="e">
        <f>#REF!</f>
        <v>#REF!</v>
      </c>
      <c r="V70" t="e">
        <f>#REF!</f>
        <v>#REF!</v>
      </c>
      <c r="W70" t="e">
        <f>#REF!</f>
        <v>#REF!</v>
      </c>
      <c r="X70" s="117" t="e">
        <f>#REF!</f>
        <v>#REF!</v>
      </c>
    </row>
    <row r="71" spans="8:24" x14ac:dyDescent="0.25">
      <c r="H71" t="e">
        <f>#REF!</f>
        <v>#REF!</v>
      </c>
      <c r="I71" s="211" t="e">
        <f>IF(#REF!&gt;0,((#REF!+12)*#REF!/1296),0)</f>
        <v>#REF!</v>
      </c>
      <c r="L71" s="6" t="e">
        <f>#REF!</f>
        <v>#REF!</v>
      </c>
      <c r="M71" s="252" t="e">
        <f>IF(#REF!&gt;0,#REF!-1.375,0)</f>
        <v>#REF!</v>
      </c>
      <c r="N71" s="252" t="e">
        <f t="shared" si="1"/>
        <v>#REF!</v>
      </c>
      <c r="P71" t="e">
        <f>#REF!</f>
        <v>#REF!</v>
      </c>
      <c r="Q71" s="117" t="e">
        <f>#REF!</f>
        <v>#REF!</v>
      </c>
      <c r="R71" s="6" t="e">
        <f>#REF!</f>
        <v>#REF!</v>
      </c>
      <c r="T71" s="8" t="e">
        <f>#REF!</f>
        <v>#REF!</v>
      </c>
      <c r="U71" s="6" t="e">
        <f>#REF!</f>
        <v>#REF!</v>
      </c>
      <c r="V71" t="e">
        <f>#REF!</f>
        <v>#REF!</v>
      </c>
      <c r="W71" t="e">
        <f>#REF!</f>
        <v>#REF!</v>
      </c>
      <c r="X71" s="117" t="e">
        <f>#REF!</f>
        <v>#REF!</v>
      </c>
    </row>
    <row r="72" spans="8:24" x14ac:dyDescent="0.25">
      <c r="H72" t="e">
        <f>#REF!</f>
        <v>#REF!</v>
      </c>
      <c r="I72" s="211" t="e">
        <f>IF(#REF!&gt;0,((#REF!+12)*#REF!/1296),0)</f>
        <v>#REF!</v>
      </c>
      <c r="L72" s="6" t="e">
        <f>#REF!</f>
        <v>#REF!</v>
      </c>
      <c r="M72" s="252" t="e">
        <f>IF(#REF!&gt;0,#REF!-1.375,0)</f>
        <v>#REF!</v>
      </c>
      <c r="N72" s="252" t="e">
        <f t="shared" si="1"/>
        <v>#REF!</v>
      </c>
      <c r="P72" t="e">
        <f>#REF!</f>
        <v>#REF!</v>
      </c>
      <c r="Q72" s="117" t="e">
        <f>#REF!</f>
        <v>#REF!</v>
      </c>
      <c r="R72" s="6" t="e">
        <f>#REF!</f>
        <v>#REF!</v>
      </c>
      <c r="T72" s="8" t="e">
        <f>#REF!</f>
        <v>#REF!</v>
      </c>
      <c r="U72" s="6" t="e">
        <f>#REF!</f>
        <v>#REF!</v>
      </c>
      <c r="V72" t="e">
        <f>#REF!</f>
        <v>#REF!</v>
      </c>
      <c r="W72" t="e">
        <f>#REF!</f>
        <v>#REF!</v>
      </c>
      <c r="X72" s="117" t="e">
        <f>#REF!</f>
        <v>#REF!</v>
      </c>
    </row>
    <row r="73" spans="8:24" x14ac:dyDescent="0.25">
      <c r="H73" t="e">
        <f>#REF!</f>
        <v>#REF!</v>
      </c>
      <c r="I73" s="211" t="e">
        <f>IF(#REF!&gt;0,((#REF!+12)*#REF!/1296),0)</f>
        <v>#REF!</v>
      </c>
      <c r="L73" s="6" t="e">
        <f>#REF!</f>
        <v>#REF!</v>
      </c>
      <c r="M73" s="252" t="e">
        <f>IF(#REF!&gt;0,#REF!-1.375,0)</f>
        <v>#REF!</v>
      </c>
      <c r="N73" s="252" t="e">
        <f t="shared" si="1"/>
        <v>#REF!</v>
      </c>
      <c r="P73" t="e">
        <f>#REF!</f>
        <v>#REF!</v>
      </c>
      <c r="Q73" s="117" t="e">
        <f>#REF!</f>
        <v>#REF!</v>
      </c>
      <c r="R73" s="6" t="e">
        <f>#REF!</f>
        <v>#REF!</v>
      </c>
      <c r="T73" s="8" t="e">
        <f>#REF!</f>
        <v>#REF!</v>
      </c>
      <c r="U73" s="6" t="e">
        <f>#REF!</f>
        <v>#REF!</v>
      </c>
      <c r="V73" t="e">
        <f>#REF!</f>
        <v>#REF!</v>
      </c>
      <c r="W73" t="e">
        <f>#REF!</f>
        <v>#REF!</v>
      </c>
      <c r="X73" s="117" t="e">
        <f>#REF!</f>
        <v>#REF!</v>
      </c>
    </row>
    <row r="74" spans="8:24" x14ac:dyDescent="0.25">
      <c r="H74" t="e">
        <f>#REF!</f>
        <v>#REF!</v>
      </c>
      <c r="I74" s="211" t="e">
        <f>IF(#REF!&gt;0,((#REF!+12)*#REF!/1296),0)</f>
        <v>#REF!</v>
      </c>
      <c r="L74" s="6" t="e">
        <f>#REF!</f>
        <v>#REF!</v>
      </c>
      <c r="M74" s="252" t="e">
        <f>IF(#REF!&gt;0,#REF!-1.375,0)</f>
        <v>#REF!</v>
      </c>
      <c r="N74" s="252" t="e">
        <f t="shared" si="1"/>
        <v>#REF!</v>
      </c>
      <c r="P74" t="e">
        <f>#REF!</f>
        <v>#REF!</v>
      </c>
      <c r="Q74" s="117" t="e">
        <f>#REF!</f>
        <v>#REF!</v>
      </c>
      <c r="R74" s="6" t="e">
        <f>#REF!</f>
        <v>#REF!</v>
      </c>
      <c r="T74" s="8" t="e">
        <f>#REF!</f>
        <v>#REF!</v>
      </c>
      <c r="U74" s="6" t="e">
        <f>#REF!</f>
        <v>#REF!</v>
      </c>
      <c r="V74" t="e">
        <f>#REF!</f>
        <v>#REF!</v>
      </c>
      <c r="W74" t="e">
        <f>#REF!</f>
        <v>#REF!</v>
      </c>
      <c r="X74" s="117" t="e">
        <f>#REF!</f>
        <v>#REF!</v>
      </c>
    </row>
    <row r="75" spans="8:24" x14ac:dyDescent="0.25">
      <c r="H75" t="e">
        <f>#REF!</f>
        <v>#REF!</v>
      </c>
      <c r="I75" s="211" t="e">
        <f>IF(#REF!&gt;0,((#REF!+12)*#REF!/1296),0)</f>
        <v>#REF!</v>
      </c>
      <c r="L75" s="6" t="e">
        <f>#REF!</f>
        <v>#REF!</v>
      </c>
      <c r="M75" s="252" t="e">
        <f>IF(#REF!&gt;0,#REF!-1.375,0)</f>
        <v>#REF!</v>
      </c>
      <c r="N75" s="252" t="e">
        <f t="shared" si="1"/>
        <v>#REF!</v>
      </c>
      <c r="P75" t="e">
        <f>#REF!</f>
        <v>#REF!</v>
      </c>
      <c r="Q75" s="117" t="e">
        <f>#REF!</f>
        <v>#REF!</v>
      </c>
      <c r="R75" s="6" t="e">
        <f>#REF!</f>
        <v>#REF!</v>
      </c>
      <c r="T75" s="8" t="e">
        <f>#REF!</f>
        <v>#REF!</v>
      </c>
      <c r="U75" s="6" t="e">
        <f>#REF!</f>
        <v>#REF!</v>
      </c>
      <c r="V75" t="e">
        <f>#REF!</f>
        <v>#REF!</v>
      </c>
      <c r="W75" t="e">
        <f>#REF!</f>
        <v>#REF!</v>
      </c>
      <c r="X75" s="117" t="e">
        <f>#REF!</f>
        <v>#REF!</v>
      </c>
    </row>
    <row r="76" spans="8:24" x14ac:dyDescent="0.25">
      <c r="H76" t="e">
        <f>#REF!</f>
        <v>#REF!</v>
      </c>
      <c r="I76" s="211" t="e">
        <f>IF(#REF!&gt;0,((#REF!+12)*#REF!/1296),0)</f>
        <v>#REF!</v>
      </c>
      <c r="L76" s="6" t="e">
        <f>#REF!</f>
        <v>#REF!</v>
      </c>
      <c r="M76" s="252" t="e">
        <f>IF(#REF!&gt;0,#REF!-1.375,0)</f>
        <v>#REF!</v>
      </c>
      <c r="N76" s="252" t="e">
        <f t="shared" si="1"/>
        <v>#REF!</v>
      </c>
      <c r="P76" t="e">
        <f>#REF!</f>
        <v>#REF!</v>
      </c>
      <c r="Q76" s="117" t="e">
        <f>#REF!</f>
        <v>#REF!</v>
      </c>
      <c r="R76" s="6" t="e">
        <f>#REF!</f>
        <v>#REF!</v>
      </c>
      <c r="T76" s="8" t="e">
        <f>#REF!</f>
        <v>#REF!</v>
      </c>
      <c r="U76" s="6" t="e">
        <f>#REF!</f>
        <v>#REF!</v>
      </c>
      <c r="V76" t="e">
        <f>#REF!</f>
        <v>#REF!</v>
      </c>
      <c r="W76" t="e">
        <f>#REF!</f>
        <v>#REF!</v>
      </c>
      <c r="X76" s="117" t="e">
        <f>#REF!</f>
        <v>#REF!</v>
      </c>
    </row>
    <row r="77" spans="8:24" x14ac:dyDescent="0.25">
      <c r="H77" t="e">
        <f>#REF!</f>
        <v>#REF!</v>
      </c>
      <c r="I77" s="211" t="e">
        <f>IF(#REF!&gt;0,((#REF!+12)*#REF!/1296),0)</f>
        <v>#REF!</v>
      </c>
      <c r="L77" s="6" t="e">
        <f>#REF!</f>
        <v>#REF!</v>
      </c>
      <c r="M77" s="252" t="e">
        <f>IF(#REF!&gt;0,#REF!-1.375,0)</f>
        <v>#REF!</v>
      </c>
      <c r="N77" s="252" t="e">
        <f t="shared" si="1"/>
        <v>#REF!</v>
      </c>
      <c r="P77" t="e">
        <f>#REF!</f>
        <v>#REF!</v>
      </c>
      <c r="Q77" s="117" t="e">
        <f>#REF!</f>
        <v>#REF!</v>
      </c>
      <c r="R77" s="6" t="e">
        <f>#REF!</f>
        <v>#REF!</v>
      </c>
      <c r="T77" s="8" t="e">
        <f>#REF!</f>
        <v>#REF!</v>
      </c>
      <c r="U77" s="6" t="e">
        <f>#REF!</f>
        <v>#REF!</v>
      </c>
      <c r="V77" t="e">
        <f>#REF!</f>
        <v>#REF!</v>
      </c>
      <c r="W77" t="e">
        <f>#REF!</f>
        <v>#REF!</v>
      </c>
      <c r="X77" s="117" t="e">
        <f>#REF!</f>
        <v>#REF!</v>
      </c>
    </row>
    <row r="78" spans="8:24" x14ac:dyDescent="0.25">
      <c r="H78" t="e">
        <f>#REF!</f>
        <v>#REF!</v>
      </c>
      <c r="I78" s="211" t="e">
        <f>IF(#REF!&gt;0,((#REF!+12)*#REF!/1296),0)</f>
        <v>#REF!</v>
      </c>
      <c r="L78" s="6" t="e">
        <f>#REF!</f>
        <v>#REF!</v>
      </c>
      <c r="M78" s="252" t="e">
        <f>IF(#REF!&gt;0,#REF!-1.375,0)</f>
        <v>#REF!</v>
      </c>
      <c r="N78" s="252" t="e">
        <f t="shared" si="1"/>
        <v>#REF!</v>
      </c>
      <c r="P78" t="e">
        <f>#REF!</f>
        <v>#REF!</v>
      </c>
      <c r="Q78" s="117" t="e">
        <f>#REF!</f>
        <v>#REF!</v>
      </c>
      <c r="R78" s="6" t="e">
        <f>#REF!</f>
        <v>#REF!</v>
      </c>
      <c r="T78" s="8" t="e">
        <f>#REF!</f>
        <v>#REF!</v>
      </c>
      <c r="U78" s="6" t="e">
        <f>#REF!</f>
        <v>#REF!</v>
      </c>
      <c r="V78" t="e">
        <f>#REF!</f>
        <v>#REF!</v>
      </c>
      <c r="W78" t="e">
        <f>#REF!</f>
        <v>#REF!</v>
      </c>
      <c r="X78" s="117" t="e">
        <f>#REF!</f>
        <v>#REF!</v>
      </c>
    </row>
    <row r="79" spans="8:24" x14ac:dyDescent="0.25">
      <c r="H79" t="e">
        <f>#REF!</f>
        <v>#REF!</v>
      </c>
      <c r="I79" s="211" t="e">
        <f>IF(#REF!&gt;0,((#REF!+12)*#REF!/1296),0)</f>
        <v>#REF!</v>
      </c>
      <c r="L79" s="6" t="e">
        <f>#REF!</f>
        <v>#REF!</v>
      </c>
      <c r="M79" s="252" t="e">
        <f>IF(#REF!&gt;0,#REF!-1.375,0)</f>
        <v>#REF!</v>
      </c>
      <c r="N79" s="252" t="e">
        <f t="shared" si="1"/>
        <v>#REF!</v>
      </c>
      <c r="P79" t="e">
        <f>#REF!</f>
        <v>#REF!</v>
      </c>
      <c r="Q79" s="117" t="e">
        <f>#REF!</f>
        <v>#REF!</v>
      </c>
      <c r="R79" s="6" t="e">
        <f>#REF!</f>
        <v>#REF!</v>
      </c>
      <c r="T79" s="8" t="e">
        <f>#REF!</f>
        <v>#REF!</v>
      </c>
      <c r="U79" s="6" t="e">
        <f>#REF!</f>
        <v>#REF!</v>
      </c>
      <c r="V79" t="e">
        <f>#REF!</f>
        <v>#REF!</v>
      </c>
      <c r="W79" t="e">
        <f>#REF!</f>
        <v>#REF!</v>
      </c>
      <c r="X79" s="117" t="e">
        <f>#REF!</f>
        <v>#REF!</v>
      </c>
    </row>
    <row r="80" spans="8:24" ht="13.8" thickBot="1" x14ac:dyDescent="0.3">
      <c r="H80" t="e">
        <f>#REF!</f>
        <v>#REF!</v>
      </c>
      <c r="I80" s="211" t="e">
        <f>IF(#REF!&gt;0,((#REF!+12)*#REF!/1296),0)</f>
        <v>#REF!</v>
      </c>
      <c r="L80" s="6" t="e">
        <f>#REF!</f>
        <v>#REF!</v>
      </c>
      <c r="M80" s="252" t="e">
        <f>IF(#REF!&gt;0,#REF!-1.375,0)</f>
        <v>#REF!</v>
      </c>
      <c r="N80" s="252" t="e">
        <f t="shared" si="1"/>
        <v>#REF!</v>
      </c>
      <c r="P80" t="e">
        <f>#REF!</f>
        <v>#REF!</v>
      </c>
      <c r="Q80" s="117" t="e">
        <f>#REF!</f>
        <v>#REF!</v>
      </c>
      <c r="R80" s="6" t="e">
        <f>#REF!</f>
        <v>#REF!</v>
      </c>
      <c r="T80" s="8" t="e">
        <f>#REF!</f>
        <v>#REF!</v>
      </c>
      <c r="U80" s="6" t="e">
        <f>#REF!</f>
        <v>#REF!</v>
      </c>
      <c r="V80" t="e">
        <f>#REF!</f>
        <v>#REF!</v>
      </c>
      <c r="W80" t="e">
        <f>#REF!</f>
        <v>#REF!</v>
      </c>
      <c r="X80" s="117" t="e">
        <f>#REF!</f>
        <v>#REF!</v>
      </c>
    </row>
    <row r="81" spans="8:24" ht="13.8" thickBot="1" x14ac:dyDescent="0.3">
      <c r="N81" s="339" t="e">
        <f>SUM(N31:N80)</f>
        <v>#REF!</v>
      </c>
    </row>
    <row r="92" spans="8:24" x14ac:dyDescent="0.25">
      <c r="H92" s="409"/>
      <c r="I92" s="117"/>
      <c r="L92" s="409"/>
      <c r="M92" s="117"/>
      <c r="N92" s="117"/>
      <c r="P92" s="409"/>
      <c r="Q92" s="409"/>
      <c r="R92" s="410"/>
      <c r="T92" s="409"/>
      <c r="U92" s="409"/>
      <c r="V92" s="409"/>
      <c r="W92" s="409"/>
      <c r="X92" s="409"/>
    </row>
  </sheetData>
  <sortState xmlns:xlrd2="http://schemas.microsoft.com/office/spreadsheetml/2017/richdata2" ref="B29:B32">
    <sortCondition ref="B29:B32"/>
  </sortState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F5E8-B325-4C92-A0F1-A303FD94C03B}">
  <dimension ref="A1:AI57"/>
  <sheetViews>
    <sheetView showGridLines="0" view="pageBreakPreview" zoomScaleNormal="100" zoomScaleSheetLayoutView="100" workbookViewId="0">
      <selection activeCell="Q2" sqref="Q2:R2"/>
    </sheetView>
  </sheetViews>
  <sheetFormatPr defaultColWidth="8.88671875" defaultRowHeight="13.2" x14ac:dyDescent="0.25"/>
  <cols>
    <col min="1" max="1" width="8.88671875" style="354"/>
    <col min="2" max="2" width="9.5546875" style="449" customWidth="1"/>
    <col min="3" max="3" width="16" style="354" customWidth="1"/>
    <col min="4" max="4" width="3.109375" style="358" customWidth="1"/>
    <col min="5" max="5" width="8" style="354" customWidth="1"/>
    <col min="6" max="6" width="7" style="450" customWidth="1"/>
    <col min="7" max="7" width="2.109375" style="354" customWidth="1"/>
    <col min="8" max="8" width="7.109375" style="451" customWidth="1"/>
    <col min="9" max="9" width="3.44140625" style="354" customWidth="1"/>
    <col min="10" max="10" width="5.109375" style="354" customWidth="1"/>
    <col min="11" max="11" width="6.5546875" style="354" customWidth="1"/>
    <col min="12" max="12" width="7.6640625" style="354" customWidth="1"/>
    <col min="13" max="13" width="28.5546875" style="354" customWidth="1"/>
    <col min="14" max="14" width="29.109375" style="354" customWidth="1"/>
    <col min="15" max="15" width="5.109375" style="354" customWidth="1"/>
    <col min="16" max="16" width="6.6640625" style="354" customWidth="1"/>
    <col min="17" max="17" width="7.5546875" style="354" customWidth="1"/>
    <col min="18" max="16384" width="8.88671875" style="354"/>
  </cols>
  <sheetData>
    <row r="1" spans="1:17" ht="7.5" customHeight="1" x14ac:dyDescent="0.25"/>
    <row r="2" spans="1:17" ht="24.6" x14ac:dyDescent="0.4">
      <c r="J2" s="452" t="s">
        <v>86</v>
      </c>
      <c r="O2" s="42" t="s">
        <v>2629</v>
      </c>
      <c r="P2" s="626">
        <f>'Worksheet (2)'!AA2</f>
        <v>33303</v>
      </c>
      <c r="Q2" s="627"/>
    </row>
    <row r="3" spans="1:17" ht="12" customHeight="1" x14ac:dyDescent="0.3">
      <c r="B3" s="453"/>
      <c r="K3" s="454"/>
      <c r="N3" s="455">
        <f ca="1">TODAY()</f>
        <v>45653</v>
      </c>
      <c r="O3" s="456"/>
    </row>
    <row r="4" spans="1:17" ht="12" customHeight="1" thickBot="1" x14ac:dyDescent="0.3">
      <c r="D4" s="457"/>
      <c r="N4" s="231"/>
      <c r="O4" s="232"/>
      <c r="P4" s="231"/>
      <c r="Q4" s="231"/>
    </row>
    <row r="5" spans="1:17" ht="13.5" customHeight="1" thickBot="1" x14ac:dyDescent="0.3">
      <c r="B5" s="458"/>
      <c r="C5" s="459"/>
      <c r="D5" s="460"/>
      <c r="E5" s="460"/>
      <c r="F5" s="461"/>
      <c r="G5" s="461"/>
      <c r="H5" s="354"/>
      <c r="I5" s="458" t="s">
        <v>1</v>
      </c>
      <c r="J5" s="462" t="str">
        <f>IF('Worksheet (2)'!J5&gt;0,'Worksheet (2)'!J5," ")</f>
        <v>Cottonwood Creek WO#I5187109-00104</v>
      </c>
      <c r="K5" s="463"/>
      <c r="L5" s="463"/>
      <c r="M5" s="464"/>
      <c r="N5" s="465" t="s">
        <v>2544</v>
      </c>
      <c r="O5" s="466">
        <f>'Worksheet (2)'!O5</f>
        <v>2</v>
      </c>
      <c r="P5" s="234"/>
      <c r="Q5" s="235"/>
    </row>
    <row r="6" spans="1:17" ht="13.5" customHeight="1" x14ac:dyDescent="0.25">
      <c r="B6" s="354"/>
      <c r="C6" s="467" t="s">
        <v>2630</v>
      </c>
      <c r="D6" s="468"/>
      <c r="E6" s="468"/>
      <c r="F6" s="461"/>
      <c r="G6" s="461"/>
      <c r="H6" s="354"/>
      <c r="K6" s="468"/>
      <c r="L6" s="468"/>
      <c r="M6" s="468"/>
      <c r="N6" s="234"/>
      <c r="O6" s="469"/>
      <c r="P6" s="469"/>
      <c r="Q6" s="468"/>
    </row>
    <row r="7" spans="1:17" ht="13.5" customHeight="1" x14ac:dyDescent="0.3">
      <c r="B7" s="354"/>
      <c r="C7" s="461"/>
      <c r="D7" s="461"/>
      <c r="E7" s="461"/>
      <c r="F7" s="461"/>
      <c r="G7" s="461"/>
      <c r="H7" s="354"/>
      <c r="J7" s="470"/>
      <c r="K7" s="468"/>
      <c r="L7" s="468"/>
      <c r="N7" s="303" t="s">
        <v>2589</v>
      </c>
      <c r="O7" s="605" t="str">
        <f>IF('Worksheet (2)'!$O$7&gt;0,'Worksheet (2)'!$O$7," ")</f>
        <v xml:space="preserve"> </v>
      </c>
      <c r="P7" s="606"/>
      <c r="Q7" s="468"/>
    </row>
    <row r="8" spans="1:17" ht="13.5" customHeight="1" x14ac:dyDescent="0.25">
      <c r="B8" s="458"/>
      <c r="C8" s="460"/>
      <c r="D8" s="460"/>
      <c r="E8" s="460"/>
      <c r="F8" s="468"/>
      <c r="G8" s="468"/>
      <c r="H8" s="458"/>
      <c r="I8" s="458"/>
      <c r="J8" s="607" t="s">
        <v>2631</v>
      </c>
      <c r="K8" s="607"/>
      <c r="L8" s="607"/>
      <c r="M8" s="607"/>
      <c r="N8" s="234"/>
      <c r="O8" s="469"/>
      <c r="P8" s="469"/>
      <c r="Q8" s="468"/>
    </row>
    <row r="9" spans="1:17" ht="13.5" customHeight="1" x14ac:dyDescent="0.25">
      <c r="B9" s="458"/>
      <c r="C9" s="467" t="s">
        <v>2632</v>
      </c>
      <c r="D9" s="461"/>
      <c r="E9" s="461"/>
      <c r="F9" s="461"/>
      <c r="G9" s="461"/>
      <c r="H9" s="458"/>
      <c r="I9" s="458"/>
      <c r="J9" s="607"/>
      <c r="K9" s="607"/>
      <c r="L9" s="607"/>
      <c r="M9" s="607"/>
      <c r="N9" s="234"/>
      <c r="O9" s="234">
        <v>1</v>
      </c>
      <c r="P9" s="234"/>
      <c r="Q9" s="235"/>
    </row>
    <row r="10" spans="1:17" ht="13.5" customHeight="1" x14ac:dyDescent="0.25">
      <c r="B10" s="458"/>
      <c r="D10" s="608" t="s">
        <v>2633</v>
      </c>
      <c r="F10" s="461"/>
      <c r="G10" s="461"/>
      <c r="H10" s="458"/>
      <c r="I10" s="458"/>
      <c r="J10" s="607"/>
      <c r="K10" s="607"/>
      <c r="L10" s="607"/>
      <c r="M10" s="607"/>
      <c r="N10" s="234"/>
      <c r="O10" s="469"/>
      <c r="P10" s="469"/>
      <c r="Q10" s="468"/>
    </row>
    <row r="11" spans="1:17" ht="13.5" customHeight="1" x14ac:dyDescent="0.25">
      <c r="B11" s="458"/>
      <c r="D11" s="608"/>
      <c r="F11" s="461"/>
      <c r="G11" s="461"/>
      <c r="H11" s="458"/>
      <c r="I11" s="458"/>
      <c r="J11" s="468"/>
      <c r="K11" s="468"/>
      <c r="L11" s="468"/>
      <c r="M11" s="468"/>
      <c r="N11" s="234"/>
      <c r="O11" s="469"/>
      <c r="P11" s="469"/>
      <c r="Q11" s="468"/>
    </row>
    <row r="12" spans="1:17" ht="13.5" customHeight="1" x14ac:dyDescent="0.25">
      <c r="B12" s="458"/>
      <c r="C12" s="446"/>
      <c r="D12" s="608"/>
      <c r="E12" s="461"/>
      <c r="F12" s="461"/>
      <c r="G12" s="461"/>
      <c r="H12" s="458"/>
      <c r="I12" s="458"/>
      <c r="J12" s="468"/>
      <c r="K12" s="468"/>
      <c r="L12" s="468"/>
      <c r="M12" s="468"/>
      <c r="N12" s="469"/>
      <c r="O12" s="237" t="b">
        <v>0</v>
      </c>
      <c r="P12" s="237"/>
      <c r="Q12" s="238"/>
    </row>
    <row r="13" spans="1:17" ht="12.75" customHeight="1" x14ac:dyDescent="0.25">
      <c r="D13" s="608"/>
      <c r="N13" s="471"/>
      <c r="O13" s="472"/>
      <c r="P13" s="472"/>
      <c r="Q13" s="473" t="s">
        <v>2590</v>
      </c>
    </row>
    <row r="14" spans="1:17" ht="12.75" customHeight="1" x14ac:dyDescent="0.25">
      <c r="D14" s="608"/>
      <c r="I14" s="356" t="s">
        <v>76</v>
      </c>
      <c r="J14" s="356" t="s">
        <v>13</v>
      </c>
      <c r="K14" s="356" t="s">
        <v>80</v>
      </c>
      <c r="L14" s="356" t="s">
        <v>16</v>
      </c>
      <c r="M14" s="356" t="s">
        <v>18</v>
      </c>
      <c r="O14" s="474"/>
      <c r="P14" s="473" t="s">
        <v>205</v>
      </c>
      <c r="Q14" s="473" t="s">
        <v>250</v>
      </c>
    </row>
    <row r="15" spans="1:17" ht="13.65" customHeight="1" x14ac:dyDescent="0.3">
      <c r="C15" s="356" t="s">
        <v>2</v>
      </c>
      <c r="D15" s="609"/>
      <c r="E15" s="475" t="s">
        <v>2511</v>
      </c>
      <c r="F15" s="476" t="s">
        <v>3</v>
      </c>
      <c r="G15" s="477"/>
      <c r="H15" s="478"/>
      <c r="I15" s="356" t="s">
        <v>77</v>
      </c>
      <c r="J15" s="356" t="s">
        <v>14</v>
      </c>
      <c r="K15" s="356" t="s">
        <v>15</v>
      </c>
      <c r="L15" s="356" t="s">
        <v>15</v>
      </c>
      <c r="M15" s="356" t="s">
        <v>17</v>
      </c>
      <c r="N15" s="356" t="s">
        <v>249</v>
      </c>
      <c r="O15" s="479" t="s">
        <v>248</v>
      </c>
      <c r="P15" s="480" t="s">
        <v>206</v>
      </c>
      <c r="Q15" s="480" t="s">
        <v>13</v>
      </c>
    </row>
    <row r="16" spans="1:17" ht="12.75" customHeight="1" x14ac:dyDescent="0.25">
      <c r="A16" s="354" t="s">
        <v>32</v>
      </c>
      <c r="B16" s="449" t="str">
        <f>HLOOKUP($O$5,'Data Sheet'!$B$2:$CM$27,2,FALSE)</f>
        <v>P2-RS1</v>
      </c>
      <c r="C16" s="481" t="str">
        <f>IF('Worksheet (2)'!C16&gt;0,'Worksheet (2)'!C16," ")</f>
        <v xml:space="preserve"> </v>
      </c>
      <c r="D16" s="482"/>
      <c r="E16" s="483" t="str">
        <f>'Worksheet (2)'!E16</f>
        <v>Tube 1.5</v>
      </c>
      <c r="F16" s="504" t="str">
        <f>IF('Worksheet (2)'!F16&gt;0,'Worksheet (2)'!F16," ")</f>
        <v xml:space="preserve"> </v>
      </c>
      <c r="G16" s="484" t="s">
        <v>4</v>
      </c>
      <c r="H16" s="518" t="str">
        <f>IF('Worksheet (2)'!H16&gt;0,'Worksheet (2)'!H16," ")</f>
        <v xml:space="preserve"> </v>
      </c>
      <c r="I16" s="481" t="str">
        <f>IF('Worksheet (2)'!I16&gt;0,'Worksheet (2)'!I16," ")</f>
        <v xml:space="preserve"> </v>
      </c>
      <c r="J16" s="481" t="str">
        <f>IF('Worksheet (2)'!J16&gt;0,'Worksheet (2)'!J16," ")</f>
        <v xml:space="preserve"> </v>
      </c>
      <c r="K16" s="481" t="str">
        <f>IF('Worksheet (2)'!K16&gt;0,'Worksheet (2)'!K16," ")</f>
        <v xml:space="preserve"> </v>
      </c>
      <c r="L16" s="481" t="str">
        <f>IF('Worksheet (2)'!L16&gt;0,'Worksheet (2)'!L16," ")</f>
        <v xml:space="preserve"> </v>
      </c>
      <c r="M16" s="481" t="str">
        <f>IF('Worksheet (2)'!M16&gt;0,'Worksheet (2)'!M16," ")</f>
        <v xml:space="preserve"> </v>
      </c>
      <c r="N16" s="481" t="str">
        <f>IF('Worksheet (2)'!N16&gt;0,'Worksheet (2)'!N16," ")</f>
        <v xml:space="preserve"> </v>
      </c>
      <c r="O16" s="481" t="str">
        <f>IF('Worksheet (2)'!O16&gt;0,'Worksheet (2)'!O16," ")</f>
        <v xml:space="preserve"> </v>
      </c>
      <c r="P16" s="481" t="str">
        <f>IF('Worksheet (2)'!P16&gt;0,'Worksheet (2)'!P16," ")</f>
        <v xml:space="preserve"> </v>
      </c>
      <c r="Q16" s="481" t="str">
        <f>IF('Worksheet (2)'!Q16&gt;0,'Worksheet (2)'!Q16," ")</f>
        <v xml:space="preserve"> </v>
      </c>
    </row>
    <row r="17" spans="1:17" ht="12.75" customHeight="1" x14ac:dyDescent="0.25">
      <c r="A17" s="354" t="s">
        <v>33</v>
      </c>
      <c r="B17" s="449" t="str">
        <f>HLOOKUP($O$5,'Data Sheet'!$B$2:$CM$27,3,FALSE)</f>
        <v>P2-RS2</v>
      </c>
      <c r="C17" s="481" t="str">
        <f>IF('Worksheet (2)'!C17&gt;0,'Worksheet (2)'!C17," ")</f>
        <v xml:space="preserve"> </v>
      </c>
      <c r="D17" s="482"/>
      <c r="E17" s="483" t="str">
        <f>'Worksheet (2)'!E17</f>
        <v>Tube 1.5</v>
      </c>
      <c r="F17" s="504" t="str">
        <f>IF('Worksheet (2)'!F17&gt;0,'Worksheet (2)'!F17," ")</f>
        <v xml:space="preserve"> </v>
      </c>
      <c r="G17" s="484" t="s">
        <v>4</v>
      </c>
      <c r="H17" s="518" t="str">
        <f>IF('Worksheet (2)'!H17&gt;0,'Worksheet (2)'!H17," ")</f>
        <v xml:space="preserve"> </v>
      </c>
      <c r="I17" s="481" t="str">
        <f>IF('Worksheet (2)'!I17&gt;0,'Worksheet (2)'!I17," ")</f>
        <v xml:space="preserve"> </v>
      </c>
      <c r="J17" s="481" t="str">
        <f>IF('Worksheet (2)'!J17&gt;0,'Worksheet (2)'!J17," ")</f>
        <v xml:space="preserve"> </v>
      </c>
      <c r="K17" s="481" t="str">
        <f>IF('Worksheet (2)'!K17&gt;0,'Worksheet (2)'!K17," ")</f>
        <v xml:space="preserve"> </v>
      </c>
      <c r="L17" s="481" t="str">
        <f>IF('Worksheet (2)'!L17&gt;0,'Worksheet (2)'!L17," ")</f>
        <v xml:space="preserve"> </v>
      </c>
      <c r="M17" s="481" t="str">
        <f>IF('Worksheet (2)'!M17&gt;0,'Worksheet (2)'!M17," ")</f>
        <v xml:space="preserve"> </v>
      </c>
      <c r="N17" s="481" t="str">
        <f>IF('Worksheet (2)'!N17&gt;0,'Worksheet (2)'!N17," ")</f>
        <v xml:space="preserve"> </v>
      </c>
      <c r="O17" s="481" t="str">
        <f>IF('Worksheet (2)'!O17&gt;0,'Worksheet (2)'!O17," ")</f>
        <v xml:space="preserve"> </v>
      </c>
      <c r="P17" s="481" t="str">
        <f>IF('Worksheet (2)'!P17&gt;0,'Worksheet (2)'!P17," ")</f>
        <v xml:space="preserve"> </v>
      </c>
      <c r="Q17" s="481" t="str">
        <f>IF('Worksheet (2)'!Q17&gt;0,'Worksheet (2)'!Q17," ")</f>
        <v xml:space="preserve"> </v>
      </c>
    </row>
    <row r="18" spans="1:17" ht="12.75" customHeight="1" x14ac:dyDescent="0.25">
      <c r="A18" s="354" t="s">
        <v>34</v>
      </c>
      <c r="B18" s="449" t="str">
        <f>HLOOKUP($O$5,'Data Sheet'!$B$2:$CM$27,4,FALSE)</f>
        <v>P2-RS3</v>
      </c>
      <c r="C18" s="481" t="str">
        <f>IF('Worksheet (2)'!C18&gt;0,'Worksheet (2)'!C18," ")</f>
        <v xml:space="preserve"> </v>
      </c>
      <c r="D18" s="482"/>
      <c r="E18" s="483" t="str">
        <f>'Worksheet (2)'!E18</f>
        <v>Tube 1.5</v>
      </c>
      <c r="F18" s="504" t="str">
        <f>IF('Worksheet (2)'!F18&gt;0,'Worksheet (2)'!F18," ")</f>
        <v xml:space="preserve"> </v>
      </c>
      <c r="G18" s="484" t="s">
        <v>4</v>
      </c>
      <c r="H18" s="518" t="str">
        <f>IF('Worksheet (2)'!H18&gt;0,'Worksheet (2)'!H18," ")</f>
        <v xml:space="preserve"> </v>
      </c>
      <c r="I18" s="481" t="str">
        <f>IF('Worksheet (2)'!I18&gt;0,'Worksheet (2)'!I18," ")</f>
        <v xml:space="preserve"> </v>
      </c>
      <c r="J18" s="481" t="str">
        <f>IF('Worksheet (2)'!J18&gt;0,'Worksheet (2)'!J18," ")</f>
        <v xml:space="preserve"> </v>
      </c>
      <c r="K18" s="481" t="str">
        <f>IF('Worksheet (2)'!K18&gt;0,'Worksheet (2)'!K18," ")</f>
        <v xml:space="preserve"> </v>
      </c>
      <c r="L18" s="481" t="str">
        <f>IF('Worksheet (2)'!L18&gt;0,'Worksheet (2)'!L18," ")</f>
        <v xml:space="preserve"> </v>
      </c>
      <c r="M18" s="481" t="str">
        <f>IF('Worksheet (2)'!M18&gt;0,'Worksheet (2)'!M18," ")</f>
        <v xml:space="preserve"> </v>
      </c>
      <c r="N18" s="481" t="str">
        <f>IF('Worksheet (2)'!N18&gt;0,'Worksheet (2)'!N18," ")</f>
        <v xml:space="preserve"> </v>
      </c>
      <c r="O18" s="481" t="str">
        <f>IF('Worksheet (2)'!O18&gt;0,'Worksheet (2)'!O18," ")</f>
        <v xml:space="preserve"> </v>
      </c>
      <c r="P18" s="481" t="str">
        <f>IF('Worksheet (2)'!P18&gt;0,'Worksheet (2)'!P18," ")</f>
        <v xml:space="preserve"> </v>
      </c>
      <c r="Q18" s="481" t="str">
        <f>IF('Worksheet (2)'!Q18&gt;0,'Worksheet (2)'!Q18," ")</f>
        <v xml:space="preserve"> </v>
      </c>
    </row>
    <row r="19" spans="1:17" ht="12.75" customHeight="1" x14ac:dyDescent="0.25">
      <c r="A19" s="354" t="s">
        <v>31</v>
      </c>
      <c r="B19" s="449" t="str">
        <f>HLOOKUP($O$5,'Data Sheet'!$B$2:$CM$27,5,FALSE)</f>
        <v>P2-RS4</v>
      </c>
      <c r="C19" s="481" t="str">
        <f>IF('Worksheet (2)'!C19&gt;0,'Worksheet (2)'!C19," ")</f>
        <v xml:space="preserve"> </v>
      </c>
      <c r="D19" s="482"/>
      <c r="E19" s="483" t="str">
        <f>'Worksheet (2)'!E19</f>
        <v>Tube 1.5</v>
      </c>
      <c r="F19" s="504" t="str">
        <f>IF('Worksheet (2)'!F19&gt;0,'Worksheet (2)'!F19," ")</f>
        <v xml:space="preserve"> </v>
      </c>
      <c r="G19" s="484" t="s">
        <v>4</v>
      </c>
      <c r="H19" s="518" t="str">
        <f>IF('Worksheet (2)'!H19&gt;0,'Worksheet (2)'!H19," ")</f>
        <v xml:space="preserve"> </v>
      </c>
      <c r="I19" s="481" t="str">
        <f>IF('Worksheet (2)'!I19&gt;0,'Worksheet (2)'!I19," ")</f>
        <v xml:space="preserve"> </v>
      </c>
      <c r="J19" s="481" t="str">
        <f>IF('Worksheet (2)'!J19&gt;0,'Worksheet (2)'!J19," ")</f>
        <v xml:space="preserve"> </v>
      </c>
      <c r="K19" s="481" t="str">
        <f>IF('Worksheet (2)'!K19&gt;0,'Worksheet (2)'!K19," ")</f>
        <v xml:space="preserve"> </v>
      </c>
      <c r="L19" s="481" t="str">
        <f>IF('Worksheet (2)'!L19&gt;0,'Worksheet (2)'!L19," ")</f>
        <v xml:space="preserve"> </v>
      </c>
      <c r="M19" s="481" t="str">
        <f>IF('Worksheet (2)'!M19&gt;0,'Worksheet (2)'!M19," ")</f>
        <v xml:space="preserve"> </v>
      </c>
      <c r="N19" s="481" t="str">
        <f>IF('Worksheet (2)'!N19&gt;0,'Worksheet (2)'!N19," ")</f>
        <v xml:space="preserve"> </v>
      </c>
      <c r="O19" s="481" t="str">
        <f>IF('Worksheet (2)'!O19&gt;0,'Worksheet (2)'!O19," ")</f>
        <v xml:space="preserve"> </v>
      </c>
      <c r="P19" s="481" t="str">
        <f>IF('Worksheet (2)'!P19&gt;0,'Worksheet (2)'!P19," ")</f>
        <v xml:space="preserve"> </v>
      </c>
      <c r="Q19" s="481" t="str">
        <f>IF('Worksheet (2)'!Q19&gt;0,'Worksheet (2)'!Q19," ")</f>
        <v xml:space="preserve"> </v>
      </c>
    </row>
    <row r="20" spans="1:17" ht="12.75" customHeight="1" x14ac:dyDescent="0.25">
      <c r="A20" s="354" t="s">
        <v>35</v>
      </c>
      <c r="B20" s="449" t="str">
        <f>HLOOKUP($O$5,'Data Sheet'!$B$2:$CM$27,6,FALSE)</f>
        <v>P2-RS5</v>
      </c>
      <c r="C20" s="481" t="str">
        <f>IF('Worksheet (2)'!C20&gt;0,'Worksheet (2)'!C20," ")</f>
        <v xml:space="preserve"> </v>
      </c>
      <c r="D20" s="482"/>
      <c r="E20" s="483" t="str">
        <f>'Worksheet (2)'!E20</f>
        <v>Tube 1.5</v>
      </c>
      <c r="F20" s="504" t="str">
        <f>IF('Worksheet (2)'!F20&gt;0,'Worksheet (2)'!F20," ")</f>
        <v xml:space="preserve"> </v>
      </c>
      <c r="G20" s="484" t="s">
        <v>4</v>
      </c>
      <c r="H20" s="518" t="str">
        <f>IF('Worksheet (2)'!H20&gt;0,'Worksheet (2)'!H20," ")</f>
        <v xml:space="preserve"> </v>
      </c>
      <c r="I20" s="481" t="str">
        <f>IF('Worksheet (2)'!I20&gt;0,'Worksheet (2)'!I20," ")</f>
        <v xml:space="preserve"> </v>
      </c>
      <c r="J20" s="481" t="str">
        <f>IF('Worksheet (2)'!J20&gt;0,'Worksheet (2)'!J20," ")</f>
        <v xml:space="preserve"> </v>
      </c>
      <c r="K20" s="481" t="str">
        <f>IF('Worksheet (2)'!K20&gt;0,'Worksheet (2)'!K20," ")</f>
        <v xml:space="preserve"> </v>
      </c>
      <c r="L20" s="481" t="str">
        <f>IF('Worksheet (2)'!L20&gt;0,'Worksheet (2)'!L20," ")</f>
        <v xml:space="preserve"> </v>
      </c>
      <c r="M20" s="481" t="str">
        <f>IF('Worksheet (2)'!M20&gt;0,'Worksheet (2)'!M20," ")</f>
        <v xml:space="preserve"> </v>
      </c>
      <c r="N20" s="481" t="str">
        <f>IF('Worksheet (2)'!N20&gt;0,'Worksheet (2)'!N20," ")</f>
        <v xml:space="preserve"> </v>
      </c>
      <c r="O20" s="481" t="str">
        <f>IF('Worksheet (2)'!O20&gt;0,'Worksheet (2)'!O20," ")</f>
        <v xml:space="preserve"> </v>
      </c>
      <c r="P20" s="481" t="str">
        <f>IF('Worksheet (2)'!P20&gt;0,'Worksheet (2)'!P20," ")</f>
        <v xml:space="preserve"> </v>
      </c>
      <c r="Q20" s="481" t="str">
        <f>IF('Worksheet (2)'!Q20&gt;0,'Worksheet (2)'!Q20," ")</f>
        <v xml:space="preserve"> </v>
      </c>
    </row>
    <row r="21" spans="1:17" ht="12.75" customHeight="1" x14ac:dyDescent="0.25">
      <c r="A21" s="354" t="s">
        <v>36</v>
      </c>
      <c r="B21" s="449" t="str">
        <f>HLOOKUP($O$5,'Data Sheet'!$B$2:$CM$27,7,FALSE)</f>
        <v>P2-RS6</v>
      </c>
      <c r="C21" s="481" t="str">
        <f>IF('Worksheet (2)'!C21&gt;0,'Worksheet (2)'!C21," ")</f>
        <v xml:space="preserve"> </v>
      </c>
      <c r="D21" s="482"/>
      <c r="E21" s="483" t="str">
        <f>'Worksheet (2)'!E21</f>
        <v>Tube 1.5</v>
      </c>
      <c r="F21" s="504" t="str">
        <f>IF('Worksheet (2)'!F21&gt;0,'Worksheet (2)'!F21," ")</f>
        <v xml:space="preserve"> </v>
      </c>
      <c r="G21" s="484" t="s">
        <v>4</v>
      </c>
      <c r="H21" s="518" t="str">
        <f>IF('Worksheet (2)'!H21&gt;0,'Worksheet (2)'!H21," ")</f>
        <v xml:space="preserve"> </v>
      </c>
      <c r="I21" s="481" t="str">
        <f>IF('Worksheet (2)'!I21&gt;0,'Worksheet (2)'!I21," ")</f>
        <v xml:space="preserve"> </v>
      </c>
      <c r="J21" s="481" t="str">
        <f>IF('Worksheet (2)'!J21&gt;0,'Worksheet (2)'!J21," ")</f>
        <v xml:space="preserve"> </v>
      </c>
      <c r="K21" s="481" t="str">
        <f>IF('Worksheet (2)'!K21&gt;0,'Worksheet (2)'!K21," ")</f>
        <v xml:space="preserve"> </v>
      </c>
      <c r="L21" s="481" t="str">
        <f>IF('Worksheet (2)'!L21&gt;0,'Worksheet (2)'!L21," ")</f>
        <v xml:space="preserve"> </v>
      </c>
      <c r="M21" s="481" t="str">
        <f>IF('Worksheet (2)'!M21&gt;0,'Worksheet (2)'!M21," ")</f>
        <v xml:space="preserve"> </v>
      </c>
      <c r="N21" s="481" t="str">
        <f>IF('Worksheet (2)'!N21&gt;0,'Worksheet (2)'!N21," ")</f>
        <v xml:space="preserve"> </v>
      </c>
      <c r="O21" s="481" t="str">
        <f>IF('Worksheet (2)'!O21&gt;0,'Worksheet (2)'!O21," ")</f>
        <v xml:space="preserve"> </v>
      </c>
      <c r="P21" s="481" t="str">
        <f>IF('Worksheet (2)'!P21&gt;0,'Worksheet (2)'!P21," ")</f>
        <v xml:space="preserve"> </v>
      </c>
      <c r="Q21" s="481" t="str">
        <f>IF('Worksheet (2)'!Q21&gt;0,'Worksheet (2)'!Q21," ")</f>
        <v xml:space="preserve"> </v>
      </c>
    </row>
    <row r="22" spans="1:17" ht="12.75" customHeight="1" x14ac:dyDescent="0.25">
      <c r="A22" s="354" t="s">
        <v>37</v>
      </c>
      <c r="B22" s="449" t="str">
        <f>HLOOKUP($O$5,'Data Sheet'!$B$2:$CM$27,8,FALSE)</f>
        <v>P2-RS7</v>
      </c>
      <c r="C22" s="481" t="str">
        <f>IF('Worksheet (2)'!C22&gt;0,'Worksheet (2)'!C22," ")</f>
        <v xml:space="preserve"> </v>
      </c>
      <c r="D22" s="482"/>
      <c r="E22" s="483" t="str">
        <f>'Worksheet (2)'!E22</f>
        <v>Tube 1.5</v>
      </c>
      <c r="F22" s="504" t="str">
        <f>IF('Worksheet (2)'!F22&gt;0,'Worksheet (2)'!F22," ")</f>
        <v xml:space="preserve"> </v>
      </c>
      <c r="G22" s="484" t="s">
        <v>4</v>
      </c>
      <c r="H22" s="518" t="str">
        <f>IF('Worksheet (2)'!H22&gt;0,'Worksheet (2)'!H22," ")</f>
        <v xml:space="preserve"> </v>
      </c>
      <c r="I22" s="481" t="str">
        <f>IF('Worksheet (2)'!I22&gt;0,'Worksheet (2)'!I22," ")</f>
        <v xml:space="preserve"> </v>
      </c>
      <c r="J22" s="481" t="str">
        <f>IF('Worksheet (2)'!J22&gt;0,'Worksheet (2)'!J22," ")</f>
        <v xml:space="preserve"> </v>
      </c>
      <c r="K22" s="481" t="str">
        <f>IF('Worksheet (2)'!K22&gt;0,'Worksheet (2)'!K22," ")</f>
        <v xml:space="preserve"> </v>
      </c>
      <c r="L22" s="481" t="str">
        <f>IF('Worksheet (2)'!L22&gt;0,'Worksheet (2)'!L22," ")</f>
        <v xml:space="preserve"> </v>
      </c>
      <c r="M22" s="481" t="str">
        <f>IF('Worksheet (2)'!M22&gt;0,'Worksheet (2)'!M22," ")</f>
        <v xml:space="preserve"> </v>
      </c>
      <c r="N22" s="481" t="str">
        <f>IF('Worksheet (2)'!N22&gt;0,'Worksheet (2)'!N22," ")</f>
        <v xml:space="preserve"> </v>
      </c>
      <c r="O22" s="481" t="str">
        <f>IF('Worksheet (2)'!O22&gt;0,'Worksheet (2)'!O22," ")</f>
        <v xml:space="preserve"> </v>
      </c>
      <c r="P22" s="481" t="str">
        <f>IF('Worksheet (2)'!P22&gt;0,'Worksheet (2)'!P22," ")</f>
        <v xml:space="preserve"> </v>
      </c>
      <c r="Q22" s="481" t="str">
        <f>IF('Worksheet (2)'!Q22&gt;0,'Worksheet (2)'!Q22," ")</f>
        <v xml:space="preserve"> </v>
      </c>
    </row>
    <row r="23" spans="1:17" ht="12.75" customHeight="1" x14ac:dyDescent="0.25">
      <c r="A23" s="354" t="s">
        <v>38</v>
      </c>
      <c r="B23" s="449" t="str">
        <f>HLOOKUP($O$5,'Data Sheet'!$B$2:$CM$27,9,FALSE)</f>
        <v>P2-RS8</v>
      </c>
      <c r="C23" s="481" t="str">
        <f>IF('Worksheet (2)'!C23&gt;0,'Worksheet (2)'!C23," ")</f>
        <v xml:space="preserve"> </v>
      </c>
      <c r="D23" s="482"/>
      <c r="E23" s="483" t="str">
        <f>'Worksheet (2)'!E23</f>
        <v>Tube 1.5</v>
      </c>
      <c r="F23" s="504" t="str">
        <f>IF('Worksheet (2)'!F23&gt;0,'Worksheet (2)'!F23," ")</f>
        <v xml:space="preserve"> </v>
      </c>
      <c r="G23" s="484" t="s">
        <v>4</v>
      </c>
      <c r="H23" s="518" t="str">
        <f>IF('Worksheet (2)'!H23&gt;0,'Worksheet (2)'!H23," ")</f>
        <v xml:space="preserve"> </v>
      </c>
      <c r="I23" s="481" t="str">
        <f>IF('Worksheet (2)'!I23&gt;0,'Worksheet (2)'!I23," ")</f>
        <v xml:space="preserve"> </v>
      </c>
      <c r="J23" s="481" t="str">
        <f>IF('Worksheet (2)'!J23&gt;0,'Worksheet (2)'!J23," ")</f>
        <v xml:space="preserve"> </v>
      </c>
      <c r="K23" s="481" t="str">
        <f>IF('Worksheet (2)'!K23&gt;0,'Worksheet (2)'!K23," ")</f>
        <v xml:space="preserve"> </v>
      </c>
      <c r="L23" s="481" t="str">
        <f>IF('Worksheet (2)'!L23&gt;0,'Worksheet (2)'!L23," ")</f>
        <v xml:space="preserve"> </v>
      </c>
      <c r="M23" s="481" t="str">
        <f>IF('Worksheet (2)'!M23&gt;0,'Worksheet (2)'!M23," ")</f>
        <v xml:space="preserve"> </v>
      </c>
      <c r="N23" s="481" t="str">
        <f>IF('Worksheet (2)'!N23&gt;0,'Worksheet (2)'!N23," ")</f>
        <v xml:space="preserve"> </v>
      </c>
      <c r="O23" s="481" t="str">
        <f>IF('Worksheet (2)'!O23&gt;0,'Worksheet (2)'!O23," ")</f>
        <v xml:space="preserve"> </v>
      </c>
      <c r="P23" s="481" t="str">
        <f>IF('Worksheet (2)'!P23&gt;0,'Worksheet (2)'!P23," ")</f>
        <v xml:space="preserve"> </v>
      </c>
      <c r="Q23" s="481" t="str">
        <f>IF('Worksheet (2)'!Q23&gt;0,'Worksheet (2)'!Q23," ")</f>
        <v xml:space="preserve"> </v>
      </c>
    </row>
    <row r="24" spans="1:17" ht="12.75" customHeight="1" x14ac:dyDescent="0.25">
      <c r="A24" s="354" t="s">
        <v>39</v>
      </c>
      <c r="B24" s="449" t="str">
        <f>HLOOKUP($O$5,'Data Sheet'!$B$2:$CM$27,10,FALSE)</f>
        <v>P2-RS9</v>
      </c>
      <c r="C24" s="481" t="str">
        <f>IF('Worksheet (2)'!C24&gt;0,'Worksheet (2)'!C24," ")</f>
        <v xml:space="preserve"> </v>
      </c>
      <c r="D24" s="482"/>
      <c r="E24" s="483" t="str">
        <f>'Worksheet (2)'!E24</f>
        <v>Tube 1.5</v>
      </c>
      <c r="F24" s="504" t="str">
        <f>IF('Worksheet (2)'!F24&gt;0,'Worksheet (2)'!F24," ")</f>
        <v xml:space="preserve"> </v>
      </c>
      <c r="G24" s="484" t="s">
        <v>4</v>
      </c>
      <c r="H24" s="518" t="str">
        <f>IF('Worksheet (2)'!H24&gt;0,'Worksheet (2)'!H24," ")</f>
        <v xml:space="preserve"> </v>
      </c>
      <c r="I24" s="481" t="str">
        <f>IF('Worksheet (2)'!I24&gt;0,'Worksheet (2)'!I24," ")</f>
        <v xml:space="preserve"> </v>
      </c>
      <c r="J24" s="481" t="str">
        <f>IF('Worksheet (2)'!J24&gt;0,'Worksheet (2)'!J24," ")</f>
        <v xml:space="preserve"> </v>
      </c>
      <c r="K24" s="481" t="str">
        <f>IF('Worksheet (2)'!K24&gt;0,'Worksheet (2)'!K24," ")</f>
        <v xml:space="preserve"> </v>
      </c>
      <c r="L24" s="481" t="str">
        <f>IF('Worksheet (2)'!L24&gt;0,'Worksheet (2)'!L24," ")</f>
        <v xml:space="preserve"> </v>
      </c>
      <c r="M24" s="481" t="str">
        <f>IF('Worksheet (2)'!M24&gt;0,'Worksheet (2)'!M24," ")</f>
        <v xml:space="preserve"> </v>
      </c>
      <c r="N24" s="481" t="str">
        <f>IF('Worksheet (2)'!N24&gt;0,'Worksheet (2)'!N24," ")</f>
        <v xml:space="preserve"> </v>
      </c>
      <c r="O24" s="481" t="str">
        <f>IF('Worksheet (2)'!O24&gt;0,'Worksheet (2)'!O24," ")</f>
        <v xml:space="preserve"> </v>
      </c>
      <c r="P24" s="481" t="str">
        <f>IF('Worksheet (2)'!P24&gt;0,'Worksheet (2)'!P24," ")</f>
        <v xml:space="preserve"> </v>
      </c>
      <c r="Q24" s="481" t="str">
        <f>IF('Worksheet (2)'!Q24&gt;0,'Worksheet (2)'!Q24," ")</f>
        <v xml:space="preserve"> </v>
      </c>
    </row>
    <row r="25" spans="1:17" ht="12.75" customHeight="1" x14ac:dyDescent="0.25">
      <c r="A25" s="354" t="s">
        <v>40</v>
      </c>
      <c r="B25" s="449" t="str">
        <f>HLOOKUP($O$5,'Data Sheet'!$B$2:$CM$27,11,FALSE)</f>
        <v>P2-RS10</v>
      </c>
      <c r="C25" s="481" t="str">
        <f>IF('Worksheet (2)'!C25&gt;0,'Worksheet (2)'!C25," ")</f>
        <v xml:space="preserve"> </v>
      </c>
      <c r="D25" s="484"/>
      <c r="E25" s="483" t="str">
        <f>'Worksheet (2)'!E25</f>
        <v>Tube 1.5</v>
      </c>
      <c r="F25" s="504" t="str">
        <f>IF('Worksheet (2)'!F25&gt;0,'Worksheet (2)'!F25," ")</f>
        <v xml:space="preserve"> </v>
      </c>
      <c r="G25" s="484" t="s">
        <v>4</v>
      </c>
      <c r="H25" s="518" t="str">
        <f>IF('Worksheet (2)'!H25&gt;0,'Worksheet (2)'!H25," ")</f>
        <v xml:space="preserve"> </v>
      </c>
      <c r="I25" s="481" t="str">
        <f>IF('Worksheet (2)'!I25&gt;0,'Worksheet (2)'!I25," ")</f>
        <v xml:space="preserve"> </v>
      </c>
      <c r="J25" s="481" t="str">
        <f>IF('Worksheet (2)'!J25&gt;0,'Worksheet (2)'!J25," ")</f>
        <v xml:space="preserve"> </v>
      </c>
      <c r="K25" s="481" t="str">
        <f>IF('Worksheet (2)'!K25&gt;0,'Worksheet (2)'!K25," ")</f>
        <v xml:space="preserve"> </v>
      </c>
      <c r="L25" s="481" t="str">
        <f>IF('Worksheet (2)'!L25&gt;0,'Worksheet (2)'!L25," ")</f>
        <v xml:space="preserve"> </v>
      </c>
      <c r="M25" s="481" t="str">
        <f>IF('Worksheet (2)'!M25&gt;0,'Worksheet (2)'!M25," ")</f>
        <v xml:space="preserve"> </v>
      </c>
      <c r="N25" s="481" t="str">
        <f>IF('Worksheet (2)'!N25&gt;0,'Worksheet (2)'!N25," ")</f>
        <v xml:space="preserve"> </v>
      </c>
      <c r="O25" s="481" t="str">
        <f>IF('Worksheet (2)'!O25&gt;0,'Worksheet (2)'!O25," ")</f>
        <v xml:space="preserve"> </v>
      </c>
      <c r="P25" s="481" t="str">
        <f>IF('Worksheet (2)'!P25&gt;0,'Worksheet (2)'!P25," ")</f>
        <v xml:space="preserve"> </v>
      </c>
      <c r="Q25" s="481" t="str">
        <f>IF('Worksheet (2)'!Q25&gt;0,'Worksheet (2)'!Q25," ")</f>
        <v xml:space="preserve"> </v>
      </c>
    </row>
    <row r="26" spans="1:17" ht="12.75" customHeight="1" x14ac:dyDescent="0.25">
      <c r="A26" s="354" t="s">
        <v>41</v>
      </c>
      <c r="B26" s="449" t="str">
        <f>HLOOKUP($O$5,'Data Sheet'!$B$2:$CM$27,12,FALSE)</f>
        <v>P2-RS11</v>
      </c>
      <c r="C26" s="481" t="str">
        <f>IF('Worksheet (2)'!C26&gt;0,'Worksheet (2)'!C26," ")</f>
        <v xml:space="preserve"> </v>
      </c>
      <c r="D26" s="484"/>
      <c r="E26" s="483" t="str">
        <f>'Worksheet (2)'!E26</f>
        <v>Tube 1.5</v>
      </c>
      <c r="F26" s="504" t="str">
        <f>IF('Worksheet (2)'!F26&gt;0,'Worksheet (2)'!F26," ")</f>
        <v xml:space="preserve"> </v>
      </c>
      <c r="G26" s="484" t="s">
        <v>4</v>
      </c>
      <c r="H26" s="518" t="str">
        <f>IF('Worksheet (2)'!H26&gt;0,'Worksheet (2)'!H26," ")</f>
        <v xml:space="preserve"> </v>
      </c>
      <c r="I26" s="481" t="str">
        <f>IF('Worksheet (2)'!I26&gt;0,'Worksheet (2)'!I26," ")</f>
        <v xml:space="preserve"> </v>
      </c>
      <c r="J26" s="481" t="str">
        <f>IF('Worksheet (2)'!J26&gt;0,'Worksheet (2)'!J26," ")</f>
        <v xml:space="preserve"> </v>
      </c>
      <c r="K26" s="481" t="str">
        <f>IF('Worksheet (2)'!K26&gt;0,'Worksheet (2)'!K26," ")</f>
        <v xml:space="preserve"> </v>
      </c>
      <c r="L26" s="481" t="str">
        <f>IF('Worksheet (2)'!L26&gt;0,'Worksheet (2)'!L26," ")</f>
        <v xml:space="preserve"> </v>
      </c>
      <c r="M26" s="481" t="str">
        <f>IF('Worksheet (2)'!M26&gt;0,'Worksheet (2)'!M26," ")</f>
        <v xml:space="preserve"> </v>
      </c>
      <c r="N26" s="481" t="str">
        <f>IF('Worksheet (2)'!N26&gt;0,'Worksheet (2)'!N26," ")</f>
        <v xml:space="preserve"> </v>
      </c>
      <c r="O26" s="481" t="str">
        <f>IF('Worksheet (2)'!O26&gt;0,'Worksheet (2)'!O26," ")</f>
        <v xml:space="preserve"> </v>
      </c>
      <c r="P26" s="481" t="str">
        <f>IF('Worksheet (2)'!P26&gt;0,'Worksheet (2)'!P26," ")</f>
        <v xml:space="preserve"> </v>
      </c>
      <c r="Q26" s="481" t="str">
        <f>IF('Worksheet (2)'!Q26&gt;0,'Worksheet (2)'!Q26," ")</f>
        <v xml:space="preserve"> </v>
      </c>
    </row>
    <row r="27" spans="1:17" ht="12.75" customHeight="1" x14ac:dyDescent="0.25">
      <c r="A27" s="354" t="s">
        <v>42</v>
      </c>
      <c r="B27" s="449" t="str">
        <f>HLOOKUP($O$5,'Data Sheet'!$B$2:$CM$27,13,FALSE)</f>
        <v>P2-RS12</v>
      </c>
      <c r="C27" s="481" t="str">
        <f>IF('Worksheet (2)'!C27&gt;0,'Worksheet (2)'!C27," ")</f>
        <v xml:space="preserve"> </v>
      </c>
      <c r="D27" s="484"/>
      <c r="E27" s="483" t="str">
        <f>'Worksheet (2)'!E27</f>
        <v>Tube 1.5</v>
      </c>
      <c r="F27" s="504" t="str">
        <f>IF('Worksheet (2)'!F27&gt;0,'Worksheet (2)'!F27," ")</f>
        <v xml:space="preserve"> </v>
      </c>
      <c r="G27" s="484" t="s">
        <v>4</v>
      </c>
      <c r="H27" s="518" t="str">
        <f>IF('Worksheet (2)'!H27&gt;0,'Worksheet (2)'!H27," ")</f>
        <v xml:space="preserve"> </v>
      </c>
      <c r="I27" s="481" t="str">
        <f>IF('Worksheet (2)'!I27&gt;0,'Worksheet (2)'!I27," ")</f>
        <v xml:space="preserve"> </v>
      </c>
      <c r="J27" s="481" t="str">
        <f>IF('Worksheet (2)'!J27&gt;0,'Worksheet (2)'!J27," ")</f>
        <v xml:space="preserve"> </v>
      </c>
      <c r="K27" s="481" t="str">
        <f>IF('Worksheet (2)'!K27&gt;0,'Worksheet (2)'!K27," ")</f>
        <v xml:space="preserve"> </v>
      </c>
      <c r="L27" s="481" t="str">
        <f>IF('Worksheet (2)'!L27&gt;0,'Worksheet (2)'!L27," ")</f>
        <v xml:space="preserve"> </v>
      </c>
      <c r="M27" s="481" t="str">
        <f>IF('Worksheet (2)'!M27&gt;0,'Worksheet (2)'!M27," ")</f>
        <v xml:space="preserve"> </v>
      </c>
      <c r="N27" s="481" t="str">
        <f>IF('Worksheet (2)'!N27&gt;0,'Worksheet (2)'!N27," ")</f>
        <v xml:space="preserve"> </v>
      </c>
      <c r="O27" s="481" t="str">
        <f>IF('Worksheet (2)'!O27&gt;0,'Worksheet (2)'!O27," ")</f>
        <v xml:space="preserve"> </v>
      </c>
      <c r="P27" s="481" t="str">
        <f>IF('Worksheet (2)'!P27&gt;0,'Worksheet (2)'!P27," ")</f>
        <v xml:space="preserve"> </v>
      </c>
      <c r="Q27" s="481" t="str">
        <f>IF('Worksheet (2)'!Q27&gt;0,'Worksheet (2)'!Q27," ")</f>
        <v xml:space="preserve"> </v>
      </c>
    </row>
    <row r="28" spans="1:17" ht="12.75" customHeight="1" x14ac:dyDescent="0.25">
      <c r="A28" s="354" t="s">
        <v>43</v>
      </c>
      <c r="B28" s="449" t="str">
        <f>HLOOKUP($O$5,'Data Sheet'!$B$2:$CM$27,14,FALSE)</f>
        <v>P2-RS13</v>
      </c>
      <c r="C28" s="481" t="str">
        <f>IF('Worksheet (2)'!C28&gt;0,'Worksheet (2)'!C28," ")</f>
        <v xml:space="preserve"> </v>
      </c>
      <c r="D28" s="484"/>
      <c r="E28" s="483" t="str">
        <f>'Worksheet (2)'!E28</f>
        <v>Tube 1.5</v>
      </c>
      <c r="F28" s="504" t="str">
        <f>IF('Worksheet (2)'!F28&gt;0,'Worksheet (2)'!F28," ")</f>
        <v xml:space="preserve"> </v>
      </c>
      <c r="G28" s="484" t="s">
        <v>4</v>
      </c>
      <c r="H28" s="518" t="str">
        <f>IF('Worksheet (2)'!H28&gt;0,'Worksheet (2)'!H28," ")</f>
        <v xml:space="preserve"> </v>
      </c>
      <c r="I28" s="481" t="str">
        <f>IF('Worksheet (2)'!I28&gt;0,'Worksheet (2)'!I28," ")</f>
        <v xml:space="preserve"> </v>
      </c>
      <c r="J28" s="481" t="str">
        <f>IF('Worksheet (2)'!J28&gt;0,'Worksheet (2)'!J28," ")</f>
        <v xml:space="preserve"> </v>
      </c>
      <c r="K28" s="481" t="str">
        <f>IF('Worksheet (2)'!K28&gt;0,'Worksheet (2)'!K28," ")</f>
        <v xml:space="preserve"> </v>
      </c>
      <c r="L28" s="481" t="str">
        <f>IF('Worksheet (2)'!L28&gt;0,'Worksheet (2)'!L28," ")</f>
        <v xml:space="preserve"> </v>
      </c>
      <c r="M28" s="481" t="str">
        <f>IF('Worksheet (2)'!M28&gt;0,'Worksheet (2)'!M28," ")</f>
        <v xml:space="preserve"> </v>
      </c>
      <c r="N28" s="481" t="str">
        <f>IF('Worksheet (2)'!N28&gt;0,'Worksheet (2)'!N28," ")</f>
        <v xml:space="preserve"> </v>
      </c>
      <c r="O28" s="481" t="str">
        <f>IF('Worksheet (2)'!O28&gt;0,'Worksheet (2)'!O28," ")</f>
        <v xml:space="preserve"> </v>
      </c>
      <c r="P28" s="481" t="str">
        <f>IF('Worksheet (2)'!P28&gt;0,'Worksheet (2)'!P28," ")</f>
        <v xml:space="preserve"> </v>
      </c>
      <c r="Q28" s="481" t="str">
        <f>IF('Worksheet (2)'!Q28&gt;0,'Worksheet (2)'!Q28," ")</f>
        <v xml:space="preserve"> </v>
      </c>
    </row>
    <row r="29" spans="1:17" ht="12.75" customHeight="1" x14ac:dyDescent="0.25">
      <c r="A29" s="354" t="s">
        <v>44</v>
      </c>
      <c r="B29" s="449" t="str">
        <f>HLOOKUP($O$5,'Data Sheet'!$B$2:$CM$27,15,FALSE)</f>
        <v>P2-RS14</v>
      </c>
      <c r="C29" s="481" t="str">
        <f>IF('Worksheet (2)'!C29&gt;0,'Worksheet (2)'!C29," ")</f>
        <v xml:space="preserve"> </v>
      </c>
      <c r="D29" s="484"/>
      <c r="E29" s="483" t="str">
        <f>'Worksheet (2)'!E29</f>
        <v>Tube 1.5</v>
      </c>
      <c r="F29" s="504" t="str">
        <f>IF('Worksheet (2)'!F29&gt;0,'Worksheet (2)'!F29," ")</f>
        <v xml:space="preserve"> </v>
      </c>
      <c r="G29" s="484" t="s">
        <v>4</v>
      </c>
      <c r="H29" s="518" t="str">
        <f>IF('Worksheet (2)'!H29&gt;0,'Worksheet (2)'!H29," ")</f>
        <v xml:space="preserve"> </v>
      </c>
      <c r="I29" s="481" t="str">
        <f>IF('Worksheet (2)'!I29&gt;0,'Worksheet (2)'!I29," ")</f>
        <v xml:space="preserve"> </v>
      </c>
      <c r="J29" s="481" t="str">
        <f>IF('Worksheet (2)'!J29&gt;0,'Worksheet (2)'!J29," ")</f>
        <v xml:space="preserve"> </v>
      </c>
      <c r="K29" s="481" t="str">
        <f>IF('Worksheet (2)'!K29&gt;0,'Worksheet (2)'!K29," ")</f>
        <v xml:space="preserve"> </v>
      </c>
      <c r="L29" s="481" t="str">
        <f>IF('Worksheet (2)'!L29&gt;0,'Worksheet (2)'!L29," ")</f>
        <v xml:space="preserve"> </v>
      </c>
      <c r="M29" s="481" t="str">
        <f>IF('Worksheet (2)'!M29&gt;0,'Worksheet (2)'!M29," ")</f>
        <v xml:space="preserve"> </v>
      </c>
      <c r="N29" s="481" t="str">
        <f>IF('Worksheet (2)'!N29&gt;0,'Worksheet (2)'!N29," ")</f>
        <v xml:space="preserve"> </v>
      </c>
      <c r="O29" s="481" t="str">
        <f>IF('Worksheet (2)'!O29&gt;0,'Worksheet (2)'!O29," ")</f>
        <v xml:space="preserve"> </v>
      </c>
      <c r="P29" s="481" t="str">
        <f>IF('Worksheet (2)'!P29&gt;0,'Worksheet (2)'!P29," ")</f>
        <v xml:space="preserve"> </v>
      </c>
      <c r="Q29" s="481" t="str">
        <f>IF('Worksheet (2)'!Q29&gt;0,'Worksheet (2)'!Q29," ")</f>
        <v xml:space="preserve"> </v>
      </c>
    </row>
    <row r="30" spans="1:17" ht="12.75" customHeight="1" x14ac:dyDescent="0.25">
      <c r="A30" s="354" t="s">
        <v>45</v>
      </c>
      <c r="B30" s="449" t="str">
        <f>HLOOKUP($O$5,'Data Sheet'!$B$2:$CM$27,16,FALSE)</f>
        <v>P2-RS15</v>
      </c>
      <c r="C30" s="481" t="str">
        <f>IF('Worksheet (2)'!C30&gt;0,'Worksheet (2)'!C30," ")</f>
        <v xml:space="preserve"> </v>
      </c>
      <c r="D30" s="484"/>
      <c r="E30" s="483" t="str">
        <f>'Worksheet (2)'!E30</f>
        <v>Tube 1.5</v>
      </c>
      <c r="F30" s="504" t="str">
        <f>IF('Worksheet (2)'!F30&gt;0,'Worksheet (2)'!F30," ")</f>
        <v xml:space="preserve"> </v>
      </c>
      <c r="G30" s="484" t="s">
        <v>4</v>
      </c>
      <c r="H30" s="518" t="str">
        <f>IF('Worksheet (2)'!H30&gt;0,'Worksheet (2)'!H30," ")</f>
        <v xml:space="preserve"> </v>
      </c>
      <c r="I30" s="481" t="str">
        <f>IF('Worksheet (2)'!I30&gt;0,'Worksheet (2)'!I30," ")</f>
        <v xml:space="preserve"> </v>
      </c>
      <c r="J30" s="481" t="str">
        <f>IF('Worksheet (2)'!J30&gt;0,'Worksheet (2)'!J30," ")</f>
        <v xml:space="preserve"> </v>
      </c>
      <c r="K30" s="481" t="str">
        <f>IF('Worksheet (2)'!K30&gt;0,'Worksheet (2)'!K30," ")</f>
        <v xml:space="preserve"> </v>
      </c>
      <c r="L30" s="481" t="str">
        <f>IF('Worksheet (2)'!L30&gt;0,'Worksheet (2)'!L30," ")</f>
        <v xml:space="preserve"> </v>
      </c>
      <c r="M30" s="481" t="str">
        <f>IF('Worksheet (2)'!M30&gt;0,'Worksheet (2)'!M30," ")</f>
        <v xml:space="preserve"> </v>
      </c>
      <c r="N30" s="481" t="str">
        <f>IF('Worksheet (2)'!N30&gt;0,'Worksheet (2)'!N30," ")</f>
        <v xml:space="preserve"> </v>
      </c>
      <c r="O30" s="481" t="str">
        <f>IF('Worksheet (2)'!O30&gt;0,'Worksheet (2)'!O30," ")</f>
        <v xml:space="preserve"> </v>
      </c>
      <c r="P30" s="481" t="str">
        <f>IF('Worksheet (2)'!P30&gt;0,'Worksheet (2)'!P30," ")</f>
        <v xml:space="preserve"> </v>
      </c>
      <c r="Q30" s="481" t="str">
        <f>IF('Worksheet (2)'!Q30&gt;0,'Worksheet (2)'!Q30," ")</f>
        <v xml:space="preserve"> </v>
      </c>
    </row>
    <row r="31" spans="1:17" ht="12.75" customHeight="1" x14ac:dyDescent="0.25">
      <c r="A31" s="354" t="s">
        <v>46</v>
      </c>
      <c r="B31" s="449" t="str">
        <f>HLOOKUP($O$5,'Data Sheet'!$B$2:$CM$27,17,FALSE)</f>
        <v>P2-RS16</v>
      </c>
      <c r="C31" s="481" t="str">
        <f>IF('Worksheet (2)'!C31&gt;0,'Worksheet (2)'!C31," ")</f>
        <v xml:space="preserve"> </v>
      </c>
      <c r="D31" s="484"/>
      <c r="E31" s="483" t="str">
        <f>'Worksheet (2)'!E31</f>
        <v>Tube 1.5</v>
      </c>
      <c r="F31" s="504" t="str">
        <f>IF('Worksheet (2)'!F31&gt;0,'Worksheet (2)'!F31," ")</f>
        <v xml:space="preserve"> </v>
      </c>
      <c r="G31" s="484" t="s">
        <v>4</v>
      </c>
      <c r="H31" s="518" t="str">
        <f>IF('Worksheet (2)'!H31&gt;0,'Worksheet (2)'!H31," ")</f>
        <v xml:space="preserve"> </v>
      </c>
      <c r="I31" s="481" t="str">
        <f>IF('Worksheet (2)'!I31&gt;0,'Worksheet (2)'!I31," ")</f>
        <v xml:space="preserve"> </v>
      </c>
      <c r="J31" s="481" t="str">
        <f>IF('Worksheet (2)'!J31&gt;0,'Worksheet (2)'!J31," ")</f>
        <v xml:space="preserve"> </v>
      </c>
      <c r="K31" s="481" t="str">
        <f>IF('Worksheet (2)'!K31&gt;0,'Worksheet (2)'!K31," ")</f>
        <v xml:space="preserve"> </v>
      </c>
      <c r="L31" s="481" t="str">
        <f>IF('Worksheet (2)'!L31&gt;0,'Worksheet (2)'!L31," ")</f>
        <v xml:space="preserve"> </v>
      </c>
      <c r="M31" s="481" t="str">
        <f>IF('Worksheet (2)'!M31&gt;0,'Worksheet (2)'!M31," ")</f>
        <v xml:space="preserve"> </v>
      </c>
      <c r="N31" s="481" t="str">
        <f>IF('Worksheet (2)'!N31&gt;0,'Worksheet (2)'!N31," ")</f>
        <v xml:space="preserve"> </v>
      </c>
      <c r="O31" s="481" t="str">
        <f>IF('Worksheet (2)'!O31&gt;0,'Worksheet (2)'!O31," ")</f>
        <v xml:space="preserve"> </v>
      </c>
      <c r="P31" s="481" t="str">
        <f>IF('Worksheet (2)'!P31&gt;0,'Worksheet (2)'!P31," ")</f>
        <v xml:space="preserve"> </v>
      </c>
      <c r="Q31" s="481" t="str">
        <f>IF('Worksheet (2)'!Q31&gt;0,'Worksheet (2)'!Q31," ")</f>
        <v xml:space="preserve"> </v>
      </c>
    </row>
    <row r="32" spans="1:17" ht="12.75" customHeight="1" x14ac:dyDescent="0.25">
      <c r="A32" s="354" t="s">
        <v>47</v>
      </c>
      <c r="B32" s="449" t="str">
        <f>HLOOKUP($O$5,'Data Sheet'!$B$2:$CM$27,18,FALSE)</f>
        <v>P2-RS17</v>
      </c>
      <c r="C32" s="481" t="str">
        <f>IF('Worksheet (2)'!C32&gt;0,'Worksheet (2)'!C32," ")</f>
        <v xml:space="preserve"> </v>
      </c>
      <c r="D32" s="484"/>
      <c r="E32" s="483" t="str">
        <f>'Worksheet (2)'!E32</f>
        <v>Tube 1.5</v>
      </c>
      <c r="F32" s="504" t="str">
        <f>IF('Worksheet (2)'!F32&gt;0,'Worksheet (2)'!F32," ")</f>
        <v xml:space="preserve"> </v>
      </c>
      <c r="G32" s="484" t="s">
        <v>4</v>
      </c>
      <c r="H32" s="518" t="str">
        <f>IF('Worksheet (2)'!H32&gt;0,'Worksheet (2)'!H32," ")</f>
        <v xml:space="preserve"> </v>
      </c>
      <c r="I32" s="481" t="str">
        <f>IF('Worksheet (2)'!I32&gt;0,'Worksheet (2)'!I32," ")</f>
        <v xml:space="preserve"> </v>
      </c>
      <c r="J32" s="481" t="str">
        <f>IF('Worksheet (2)'!J32&gt;0,'Worksheet (2)'!J32," ")</f>
        <v xml:space="preserve"> </v>
      </c>
      <c r="K32" s="481" t="str">
        <f>IF('Worksheet (2)'!K32&gt;0,'Worksheet (2)'!K32," ")</f>
        <v xml:space="preserve"> </v>
      </c>
      <c r="L32" s="481" t="str">
        <f>IF('Worksheet (2)'!L32&gt;0,'Worksheet (2)'!L32," ")</f>
        <v xml:space="preserve"> </v>
      </c>
      <c r="M32" s="481" t="str">
        <f>IF('Worksheet (2)'!M32&gt;0,'Worksheet (2)'!M32," ")</f>
        <v xml:space="preserve"> </v>
      </c>
      <c r="N32" s="481" t="str">
        <f>IF('Worksheet (2)'!N32&gt;0,'Worksheet (2)'!N32," ")</f>
        <v xml:space="preserve"> </v>
      </c>
      <c r="O32" s="481" t="str">
        <f>IF('Worksheet (2)'!O32&gt;0,'Worksheet (2)'!O32," ")</f>
        <v xml:space="preserve"> </v>
      </c>
      <c r="P32" s="481" t="str">
        <f>IF('Worksheet (2)'!P32&gt;0,'Worksheet (2)'!P32," ")</f>
        <v xml:space="preserve"> </v>
      </c>
      <c r="Q32" s="481" t="str">
        <f>IF('Worksheet (2)'!Q32&gt;0,'Worksheet (2)'!Q32," ")</f>
        <v xml:space="preserve"> </v>
      </c>
    </row>
    <row r="33" spans="1:17" ht="12.75" customHeight="1" x14ac:dyDescent="0.25">
      <c r="A33" s="354" t="s">
        <v>48</v>
      </c>
      <c r="B33" s="449" t="str">
        <f>HLOOKUP($O$5,'Data Sheet'!$B$2:$CM$27,19,FALSE)</f>
        <v>P2-RS18</v>
      </c>
      <c r="C33" s="481" t="str">
        <f>IF('Worksheet (2)'!C33&gt;0,'Worksheet (2)'!C33," ")</f>
        <v xml:space="preserve"> </v>
      </c>
      <c r="D33" s="484"/>
      <c r="E33" s="483" t="str">
        <f>'Worksheet (2)'!E33</f>
        <v>Tube 1.5</v>
      </c>
      <c r="F33" s="504" t="str">
        <f>IF('Worksheet (2)'!F33&gt;0,'Worksheet (2)'!F33," ")</f>
        <v xml:space="preserve"> </v>
      </c>
      <c r="G33" s="484" t="s">
        <v>4</v>
      </c>
      <c r="H33" s="518" t="str">
        <f>IF('Worksheet (2)'!H33&gt;0,'Worksheet (2)'!H33," ")</f>
        <v xml:space="preserve"> </v>
      </c>
      <c r="I33" s="481" t="str">
        <f>IF('Worksheet (2)'!I33&gt;0,'Worksheet (2)'!I33," ")</f>
        <v xml:space="preserve"> </v>
      </c>
      <c r="J33" s="481" t="str">
        <f>IF('Worksheet (2)'!J33&gt;0,'Worksheet (2)'!J33," ")</f>
        <v xml:space="preserve"> </v>
      </c>
      <c r="K33" s="481" t="str">
        <f>IF('Worksheet (2)'!K33&gt;0,'Worksheet (2)'!K33," ")</f>
        <v xml:space="preserve"> </v>
      </c>
      <c r="L33" s="481" t="str">
        <f>IF('Worksheet (2)'!L33&gt;0,'Worksheet (2)'!L33," ")</f>
        <v xml:space="preserve"> </v>
      </c>
      <c r="M33" s="481" t="str">
        <f>IF('Worksheet (2)'!M33&gt;0,'Worksheet (2)'!M33," ")</f>
        <v xml:space="preserve"> </v>
      </c>
      <c r="N33" s="481" t="str">
        <f>IF('Worksheet (2)'!N33&gt;0,'Worksheet (2)'!N33," ")</f>
        <v xml:space="preserve"> </v>
      </c>
      <c r="O33" s="481" t="str">
        <f>IF('Worksheet (2)'!O33&gt;0,'Worksheet (2)'!O33," ")</f>
        <v xml:space="preserve"> </v>
      </c>
      <c r="P33" s="481" t="str">
        <f>IF('Worksheet (2)'!P33&gt;0,'Worksheet (2)'!P33," ")</f>
        <v xml:space="preserve"> </v>
      </c>
      <c r="Q33" s="481" t="str">
        <f>IF('Worksheet (2)'!Q33&gt;0,'Worksheet (2)'!Q33," ")</f>
        <v xml:space="preserve"> </v>
      </c>
    </row>
    <row r="34" spans="1:17" ht="12.75" customHeight="1" x14ac:dyDescent="0.25">
      <c r="A34" s="354" t="s">
        <v>49</v>
      </c>
      <c r="B34" s="449" t="str">
        <f>HLOOKUP($O$5,'Data Sheet'!$B$2:$CM$27,20,FALSE)</f>
        <v>P2-RS19</v>
      </c>
      <c r="C34" s="481" t="str">
        <f>IF('Worksheet (2)'!C34&gt;0,'Worksheet (2)'!C34," ")</f>
        <v xml:space="preserve"> </v>
      </c>
      <c r="D34" s="484"/>
      <c r="E34" s="483" t="str">
        <f>'Worksheet (2)'!E34</f>
        <v>Tube 1.5</v>
      </c>
      <c r="F34" s="504" t="str">
        <f>IF('Worksheet (2)'!F34&gt;0,'Worksheet (2)'!F34," ")</f>
        <v xml:space="preserve"> </v>
      </c>
      <c r="G34" s="484" t="s">
        <v>4</v>
      </c>
      <c r="H34" s="518" t="str">
        <f>IF('Worksheet (2)'!H34&gt;0,'Worksheet (2)'!H34," ")</f>
        <v xml:space="preserve"> </v>
      </c>
      <c r="I34" s="481" t="str">
        <f>IF('Worksheet (2)'!I34&gt;0,'Worksheet (2)'!I34," ")</f>
        <v xml:space="preserve"> </v>
      </c>
      <c r="J34" s="481" t="str">
        <f>IF('Worksheet (2)'!J34&gt;0,'Worksheet (2)'!J34," ")</f>
        <v xml:space="preserve"> </v>
      </c>
      <c r="K34" s="481" t="str">
        <f>IF('Worksheet (2)'!K34&gt;0,'Worksheet (2)'!K34," ")</f>
        <v xml:space="preserve"> </v>
      </c>
      <c r="L34" s="481" t="str">
        <f>IF('Worksheet (2)'!L34&gt;0,'Worksheet (2)'!L34," ")</f>
        <v xml:space="preserve"> </v>
      </c>
      <c r="M34" s="481" t="str">
        <f>IF('Worksheet (2)'!M34&gt;0,'Worksheet (2)'!M34," ")</f>
        <v xml:space="preserve"> </v>
      </c>
      <c r="N34" s="481" t="str">
        <f>IF('Worksheet (2)'!N34&gt;0,'Worksheet (2)'!N34," ")</f>
        <v xml:space="preserve"> </v>
      </c>
      <c r="O34" s="481" t="str">
        <f>IF('Worksheet (2)'!O34&gt;0,'Worksheet (2)'!O34," ")</f>
        <v xml:space="preserve"> </v>
      </c>
      <c r="P34" s="481" t="str">
        <f>IF('Worksheet (2)'!P34&gt;0,'Worksheet (2)'!P34," ")</f>
        <v xml:space="preserve"> </v>
      </c>
      <c r="Q34" s="481" t="str">
        <f>IF('Worksheet (2)'!Q34&gt;0,'Worksheet (2)'!Q34," ")</f>
        <v xml:space="preserve"> </v>
      </c>
    </row>
    <row r="35" spans="1:17" ht="12.75" customHeight="1" x14ac:dyDescent="0.25">
      <c r="A35" s="354" t="s">
        <v>50</v>
      </c>
      <c r="B35" s="449" t="str">
        <f>HLOOKUP($O$5,'Data Sheet'!$B$2:$CM$27,21,FALSE)</f>
        <v>P2-RS20</v>
      </c>
      <c r="C35" s="481" t="str">
        <f>IF('Worksheet (2)'!C35&gt;0,'Worksheet (2)'!C35," ")</f>
        <v xml:space="preserve"> </v>
      </c>
      <c r="D35" s="484"/>
      <c r="E35" s="483" t="str">
        <f>'Worksheet (2)'!E35</f>
        <v>Tube 1.5</v>
      </c>
      <c r="F35" s="504" t="str">
        <f>IF('Worksheet (2)'!F35&gt;0,'Worksheet (2)'!F35," ")</f>
        <v xml:space="preserve"> </v>
      </c>
      <c r="G35" s="484" t="s">
        <v>4</v>
      </c>
      <c r="H35" s="518" t="str">
        <f>IF('Worksheet (2)'!H35&gt;0,'Worksheet (2)'!H35," ")</f>
        <v xml:space="preserve"> </v>
      </c>
      <c r="I35" s="481" t="str">
        <f>IF('Worksheet (2)'!I35&gt;0,'Worksheet (2)'!I35," ")</f>
        <v xml:space="preserve"> </v>
      </c>
      <c r="J35" s="481" t="str">
        <f>IF('Worksheet (2)'!J35&gt;0,'Worksheet (2)'!J35," ")</f>
        <v xml:space="preserve"> </v>
      </c>
      <c r="K35" s="481" t="str">
        <f>IF('Worksheet (2)'!K35&gt;0,'Worksheet (2)'!K35," ")</f>
        <v xml:space="preserve"> </v>
      </c>
      <c r="L35" s="481" t="str">
        <f>IF('Worksheet (2)'!L35&gt;0,'Worksheet (2)'!L35," ")</f>
        <v xml:space="preserve"> </v>
      </c>
      <c r="M35" s="481" t="str">
        <f>IF('Worksheet (2)'!M35&gt;0,'Worksheet (2)'!M35," ")</f>
        <v xml:space="preserve"> </v>
      </c>
      <c r="N35" s="481" t="str">
        <f>IF('Worksheet (2)'!N35&gt;0,'Worksheet (2)'!N35," ")</f>
        <v xml:space="preserve"> </v>
      </c>
      <c r="O35" s="481" t="str">
        <f>IF('Worksheet (2)'!O35&gt;0,'Worksheet (2)'!O35," ")</f>
        <v xml:space="preserve"> </v>
      </c>
      <c r="P35" s="481" t="str">
        <f>IF('Worksheet (2)'!P35&gt;0,'Worksheet (2)'!P35," ")</f>
        <v xml:space="preserve"> </v>
      </c>
      <c r="Q35" s="481" t="str">
        <f>IF('Worksheet (2)'!Q35&gt;0,'Worksheet (2)'!Q35," ")</f>
        <v xml:space="preserve"> </v>
      </c>
    </row>
    <row r="36" spans="1:17" ht="12.75" customHeight="1" x14ac:dyDescent="0.25">
      <c r="A36" s="354" t="s">
        <v>182</v>
      </c>
      <c r="B36" s="449" t="str">
        <f>HLOOKUP($O$5,'Data Sheet'!$B$2:$CM$27,22,FALSE)</f>
        <v>P2-RS21</v>
      </c>
      <c r="C36" s="481" t="str">
        <f>IF('Worksheet (2)'!C36&gt;0,'Worksheet (2)'!C36," ")</f>
        <v xml:space="preserve"> </v>
      </c>
      <c r="D36" s="484"/>
      <c r="E36" s="483" t="str">
        <f>'Worksheet (2)'!E36</f>
        <v>Tube 1.5</v>
      </c>
      <c r="F36" s="504" t="str">
        <f>IF('Worksheet (2)'!F36&gt;0,'Worksheet (2)'!F36," ")</f>
        <v xml:space="preserve"> </v>
      </c>
      <c r="G36" s="484" t="s">
        <v>4</v>
      </c>
      <c r="H36" s="518" t="str">
        <f>IF('Worksheet (2)'!H36&gt;0,'Worksheet (2)'!H36," ")</f>
        <v xml:space="preserve"> </v>
      </c>
      <c r="I36" s="481" t="str">
        <f>IF('Worksheet (2)'!I36&gt;0,'Worksheet (2)'!I36," ")</f>
        <v xml:space="preserve"> </v>
      </c>
      <c r="J36" s="481" t="str">
        <f>IF('Worksheet (2)'!J36&gt;0,'Worksheet (2)'!J36," ")</f>
        <v xml:space="preserve"> </v>
      </c>
      <c r="K36" s="481" t="str">
        <f>IF('Worksheet (2)'!K36&gt;0,'Worksheet (2)'!K36," ")</f>
        <v xml:space="preserve"> </v>
      </c>
      <c r="L36" s="481" t="str">
        <f>IF('Worksheet (2)'!L36&gt;0,'Worksheet (2)'!L36," ")</f>
        <v xml:space="preserve"> </v>
      </c>
      <c r="M36" s="481" t="str">
        <f>IF('Worksheet (2)'!M36&gt;0,'Worksheet (2)'!M36," ")</f>
        <v xml:space="preserve"> </v>
      </c>
      <c r="N36" s="481" t="str">
        <f>IF('Worksheet (2)'!N36&gt;0,'Worksheet (2)'!N36," ")</f>
        <v xml:space="preserve"> </v>
      </c>
      <c r="O36" s="481" t="str">
        <f>IF('Worksheet (2)'!O36&gt;0,'Worksheet (2)'!O36," ")</f>
        <v xml:space="preserve"> </v>
      </c>
      <c r="P36" s="481" t="str">
        <f>IF('Worksheet (2)'!P36&gt;0,'Worksheet (2)'!P36," ")</f>
        <v xml:space="preserve"> </v>
      </c>
      <c r="Q36" s="481" t="str">
        <f>IF('Worksheet (2)'!Q36&gt;0,'Worksheet (2)'!Q36," ")</f>
        <v xml:space="preserve"> </v>
      </c>
    </row>
    <row r="37" spans="1:17" ht="12.75" customHeight="1" x14ac:dyDescent="0.25">
      <c r="A37" s="354" t="s">
        <v>183</v>
      </c>
      <c r="B37" s="449" t="str">
        <f>HLOOKUP($O$5,'Data Sheet'!$B$2:$CM$27,23,FALSE)</f>
        <v>P2-RS22</v>
      </c>
      <c r="C37" s="481" t="str">
        <f>IF('Worksheet (2)'!C37&gt;0,'Worksheet (2)'!C37," ")</f>
        <v xml:space="preserve"> </v>
      </c>
      <c r="D37" s="484"/>
      <c r="E37" s="483" t="str">
        <f>'Worksheet (2)'!E37</f>
        <v>Tube 1.5</v>
      </c>
      <c r="F37" s="504" t="str">
        <f>IF('Worksheet (2)'!F37&gt;0,'Worksheet (2)'!F37," ")</f>
        <v xml:space="preserve"> </v>
      </c>
      <c r="G37" s="484" t="s">
        <v>4</v>
      </c>
      <c r="H37" s="518" t="str">
        <f>IF('Worksheet (2)'!H37&gt;0,'Worksheet (2)'!H37," ")</f>
        <v xml:space="preserve"> </v>
      </c>
      <c r="I37" s="481" t="str">
        <f>IF('Worksheet (2)'!I37&gt;0,'Worksheet (2)'!I37," ")</f>
        <v xml:space="preserve"> </v>
      </c>
      <c r="J37" s="481" t="str">
        <f>IF('Worksheet (2)'!J37&gt;0,'Worksheet (2)'!J37," ")</f>
        <v xml:space="preserve"> </v>
      </c>
      <c r="K37" s="481" t="str">
        <f>IF('Worksheet (2)'!K37&gt;0,'Worksheet (2)'!K37," ")</f>
        <v xml:space="preserve"> </v>
      </c>
      <c r="L37" s="481" t="str">
        <f>IF('Worksheet (2)'!L37&gt;0,'Worksheet (2)'!L37," ")</f>
        <v xml:space="preserve"> </v>
      </c>
      <c r="M37" s="481" t="str">
        <f>IF('Worksheet (2)'!M37&gt;0,'Worksheet (2)'!M37," ")</f>
        <v xml:space="preserve"> </v>
      </c>
      <c r="N37" s="481" t="str">
        <f>IF('Worksheet (2)'!N37&gt;0,'Worksheet (2)'!N37," ")</f>
        <v xml:space="preserve"> </v>
      </c>
      <c r="O37" s="481" t="str">
        <f>IF('Worksheet (2)'!O37&gt;0,'Worksheet (2)'!O37," ")</f>
        <v xml:space="preserve"> </v>
      </c>
      <c r="P37" s="481" t="str">
        <f>IF('Worksheet (2)'!P37&gt;0,'Worksheet (2)'!P37," ")</f>
        <v xml:space="preserve"> </v>
      </c>
      <c r="Q37" s="481" t="str">
        <f>IF('Worksheet (2)'!Q37&gt;0,'Worksheet (2)'!Q37," ")</f>
        <v xml:space="preserve"> </v>
      </c>
    </row>
    <row r="38" spans="1:17" ht="12.75" customHeight="1" x14ac:dyDescent="0.25">
      <c r="A38" s="354" t="s">
        <v>184</v>
      </c>
      <c r="B38" s="449" t="str">
        <f>HLOOKUP($O$5,'Data Sheet'!$B$2:$CM$27,24,FALSE)</f>
        <v>P2-RS23</v>
      </c>
      <c r="C38" s="481" t="str">
        <f>IF('Worksheet (2)'!C38&gt;0,'Worksheet (2)'!C38," ")</f>
        <v xml:space="preserve"> </v>
      </c>
      <c r="D38" s="484"/>
      <c r="E38" s="483" t="str">
        <f>'Worksheet (2)'!E38</f>
        <v>Tube 1.5</v>
      </c>
      <c r="F38" s="504" t="str">
        <f>IF('Worksheet (2)'!F38&gt;0,'Worksheet (2)'!F38," ")</f>
        <v xml:space="preserve"> </v>
      </c>
      <c r="G38" s="484" t="s">
        <v>4</v>
      </c>
      <c r="H38" s="518" t="str">
        <f>IF('Worksheet (2)'!H38&gt;0,'Worksheet (2)'!H38," ")</f>
        <v xml:space="preserve"> </v>
      </c>
      <c r="I38" s="481" t="str">
        <f>IF('Worksheet (2)'!I38&gt;0,'Worksheet (2)'!I38," ")</f>
        <v xml:space="preserve"> </v>
      </c>
      <c r="J38" s="481" t="str">
        <f>IF('Worksheet (2)'!J38&gt;0,'Worksheet (2)'!J38," ")</f>
        <v xml:space="preserve"> </v>
      </c>
      <c r="K38" s="481" t="str">
        <f>IF('Worksheet (2)'!K38&gt;0,'Worksheet (2)'!K38," ")</f>
        <v xml:space="preserve"> </v>
      </c>
      <c r="L38" s="481" t="str">
        <f>IF('Worksheet (2)'!L38&gt;0,'Worksheet (2)'!L38," ")</f>
        <v xml:space="preserve"> </v>
      </c>
      <c r="M38" s="481" t="str">
        <f>IF('Worksheet (2)'!M38&gt;0,'Worksheet (2)'!M38," ")</f>
        <v xml:space="preserve"> </v>
      </c>
      <c r="N38" s="481" t="str">
        <f>IF('Worksheet (2)'!N38&gt;0,'Worksheet (2)'!N38," ")</f>
        <v xml:space="preserve"> </v>
      </c>
      <c r="O38" s="481" t="str">
        <f>IF('Worksheet (2)'!O38&gt;0,'Worksheet (2)'!O38," ")</f>
        <v xml:space="preserve"> </v>
      </c>
      <c r="P38" s="481" t="str">
        <f>IF('Worksheet (2)'!P38&gt;0,'Worksheet (2)'!P38," ")</f>
        <v xml:space="preserve"> </v>
      </c>
      <c r="Q38" s="481" t="str">
        <f>IF('Worksheet (2)'!Q38&gt;0,'Worksheet (2)'!Q38," ")</f>
        <v xml:space="preserve"> </v>
      </c>
    </row>
    <row r="39" spans="1:17" ht="12.75" customHeight="1" x14ac:dyDescent="0.25">
      <c r="A39" s="354" t="s">
        <v>185</v>
      </c>
      <c r="B39" s="449" t="str">
        <f>HLOOKUP($O$5,'Data Sheet'!$B$2:$CM$27,25,FALSE)</f>
        <v>P2-RS24</v>
      </c>
      <c r="C39" s="481" t="str">
        <f>IF('Worksheet (2)'!C39&gt;0,'Worksheet (2)'!C39," ")</f>
        <v xml:space="preserve"> </v>
      </c>
      <c r="D39" s="484"/>
      <c r="E39" s="483" t="str">
        <f>'Worksheet (2)'!E39</f>
        <v>Tube 1.5</v>
      </c>
      <c r="F39" s="504" t="str">
        <f>IF('Worksheet (2)'!F39&gt;0,'Worksheet (2)'!F39," ")</f>
        <v xml:space="preserve"> </v>
      </c>
      <c r="G39" s="484" t="s">
        <v>4</v>
      </c>
      <c r="H39" s="518" t="str">
        <f>IF('Worksheet (2)'!H39&gt;0,'Worksheet (2)'!H39," ")</f>
        <v xml:space="preserve"> </v>
      </c>
      <c r="I39" s="481" t="str">
        <f>IF('Worksheet (2)'!I39&gt;0,'Worksheet (2)'!I39," ")</f>
        <v xml:space="preserve"> </v>
      </c>
      <c r="J39" s="481" t="str">
        <f>IF('Worksheet (2)'!J39&gt;0,'Worksheet (2)'!J39," ")</f>
        <v xml:space="preserve"> </v>
      </c>
      <c r="K39" s="481" t="str">
        <f>IF('Worksheet (2)'!K39&gt;0,'Worksheet (2)'!K39," ")</f>
        <v xml:space="preserve"> </v>
      </c>
      <c r="L39" s="481" t="str">
        <f>IF('Worksheet (2)'!L39&gt;0,'Worksheet (2)'!L39," ")</f>
        <v xml:space="preserve"> </v>
      </c>
      <c r="M39" s="481" t="str">
        <f>IF('Worksheet (2)'!M39&gt;0,'Worksheet (2)'!M39," ")</f>
        <v xml:space="preserve"> </v>
      </c>
      <c r="N39" s="481" t="str">
        <f>IF('Worksheet (2)'!N39&gt;0,'Worksheet (2)'!N39," ")</f>
        <v xml:space="preserve"> </v>
      </c>
      <c r="O39" s="481" t="str">
        <f>IF('Worksheet (2)'!O39&gt;0,'Worksheet (2)'!O39," ")</f>
        <v xml:space="preserve"> </v>
      </c>
      <c r="P39" s="481" t="str">
        <f>IF('Worksheet (2)'!P39&gt;0,'Worksheet (2)'!P39," ")</f>
        <v xml:space="preserve"> </v>
      </c>
      <c r="Q39" s="481" t="str">
        <f>IF('Worksheet (2)'!Q39&gt;0,'Worksheet (2)'!Q39," ")</f>
        <v xml:space="preserve"> </v>
      </c>
    </row>
    <row r="40" spans="1:17" ht="12.75" customHeight="1" x14ac:dyDescent="0.25">
      <c r="A40" s="354" t="s">
        <v>186</v>
      </c>
      <c r="B40" s="449" t="str">
        <f>HLOOKUP($O$5,'Data Sheet'!$B$2:$CM$27,26,FALSE)</f>
        <v>P2-RS25</v>
      </c>
      <c r="C40" s="481" t="str">
        <f>IF('Worksheet (2)'!C40&gt;0,'Worksheet (2)'!C40," ")</f>
        <v xml:space="preserve"> </v>
      </c>
      <c r="D40" s="484"/>
      <c r="E40" s="483" t="str">
        <f>'Worksheet (2)'!E40</f>
        <v>Tube 1.5</v>
      </c>
      <c r="F40" s="504" t="str">
        <f>IF('Worksheet (2)'!F40&gt;0,'Worksheet (2)'!F40," ")</f>
        <v xml:space="preserve"> </v>
      </c>
      <c r="G40" s="484" t="s">
        <v>4</v>
      </c>
      <c r="H40" s="518" t="str">
        <f>IF('Worksheet (2)'!H40&gt;0,'Worksheet (2)'!H40," ")</f>
        <v xml:space="preserve"> </v>
      </c>
      <c r="I40" s="481" t="str">
        <f>IF('Worksheet (2)'!I40&gt;0,'Worksheet (2)'!I40," ")</f>
        <v xml:space="preserve"> </v>
      </c>
      <c r="J40" s="481" t="str">
        <f>IF('Worksheet (2)'!J40&gt;0,'Worksheet (2)'!J40," ")</f>
        <v xml:space="preserve"> </v>
      </c>
      <c r="K40" s="481" t="str">
        <f>IF('Worksheet (2)'!K40&gt;0,'Worksheet (2)'!K40," ")</f>
        <v xml:space="preserve"> </v>
      </c>
      <c r="L40" s="481" t="str">
        <f>IF('Worksheet (2)'!L40&gt;0,'Worksheet (2)'!L40," ")</f>
        <v xml:space="preserve"> </v>
      </c>
      <c r="M40" s="481" t="str">
        <f>IF('Worksheet (2)'!M40&gt;0,'Worksheet (2)'!M40," ")</f>
        <v xml:space="preserve"> </v>
      </c>
      <c r="N40" s="481" t="str">
        <f>IF('Worksheet (2)'!N40&gt;0,'Worksheet (2)'!N40," ")</f>
        <v xml:space="preserve"> </v>
      </c>
      <c r="O40" s="481" t="str">
        <f>IF('Worksheet (2)'!O40&gt;0,'Worksheet (2)'!O40," ")</f>
        <v xml:space="preserve"> </v>
      </c>
      <c r="P40" s="481" t="str">
        <f>IF('Worksheet (2)'!P40&gt;0,'Worksheet (2)'!P40," ")</f>
        <v xml:space="preserve"> </v>
      </c>
      <c r="Q40" s="481" t="str">
        <f>IF('Worksheet (2)'!Q40&gt;0,'Worksheet (2)'!Q40," ")</f>
        <v xml:space="preserve"> </v>
      </c>
    </row>
    <row r="41" spans="1:17" s="391" customFormat="1" ht="15.75" customHeight="1" thickBot="1" x14ac:dyDescent="0.3">
      <c r="B41" s="485"/>
      <c r="C41" s="610">
        <f>SUM(D16:D40)</f>
        <v>0</v>
      </c>
      <c r="D41" s="610"/>
      <c r="E41" s="391" t="s">
        <v>8</v>
      </c>
      <c r="F41" s="486"/>
      <c r="H41" s="487"/>
    </row>
    <row r="42" spans="1:17" ht="16.2" thickBot="1" x14ac:dyDescent="0.35">
      <c r="B42" s="477"/>
      <c r="C42" s="391"/>
      <c r="D42" s="488"/>
      <c r="E42" s="478"/>
      <c r="F42" s="486"/>
      <c r="G42" s="391"/>
      <c r="H42" s="478"/>
      <c r="I42" s="391"/>
      <c r="K42" s="489"/>
      <c r="L42" s="490" t="s">
        <v>204</v>
      </c>
      <c r="M42" s="491" t="str">
        <f>'Worksheet (2)'!M42</f>
        <v>Doyle</v>
      </c>
      <c r="N42" s="391"/>
      <c r="O42" s="611" t="s">
        <v>202</v>
      </c>
      <c r="P42" s="612"/>
      <c r="Q42" s="613"/>
    </row>
    <row r="43" spans="1:17" ht="15" customHeight="1" x14ac:dyDescent="0.3">
      <c r="D43" s="492" t="s">
        <v>2623</v>
      </c>
      <c r="E43" s="493">
        <f>O5</f>
        <v>2</v>
      </c>
      <c r="O43" s="614" t="s">
        <v>82</v>
      </c>
      <c r="P43" s="615"/>
      <c r="Q43" s="616"/>
    </row>
    <row r="44" spans="1:17" ht="15" customHeight="1" x14ac:dyDescent="0.25">
      <c r="D44" s="354"/>
      <c r="F44" s="451"/>
      <c r="H44" s="354"/>
      <c r="O44" s="614" t="s">
        <v>216</v>
      </c>
      <c r="P44" s="615"/>
      <c r="Q44" s="616"/>
    </row>
    <row r="45" spans="1:17" ht="15" customHeight="1" x14ac:dyDescent="0.25">
      <c r="D45" s="354"/>
      <c r="F45" s="451"/>
      <c r="H45" s="354"/>
      <c r="M45" s="449"/>
      <c r="O45" s="600" t="s">
        <v>2625</v>
      </c>
      <c r="P45" s="601"/>
      <c r="Q45" s="602"/>
    </row>
    <row r="46" spans="1:17" ht="15" customHeight="1" x14ac:dyDescent="0.25">
      <c r="D46" s="494"/>
      <c r="O46" s="391"/>
      <c r="P46" s="391"/>
      <c r="Q46" s="391"/>
    </row>
    <row r="57" spans="3:35" x14ac:dyDescent="0.25">
      <c r="C57" s="449"/>
      <c r="H57" s="358"/>
      <c r="J57" s="450"/>
      <c r="L57" s="358"/>
      <c r="O57" s="358"/>
      <c r="Q57" s="450"/>
      <c r="R57" s="450"/>
      <c r="S57" s="450"/>
      <c r="U57" s="358"/>
      <c r="W57" s="450"/>
      <c r="Y57" s="358"/>
      <c r="AA57" s="450"/>
      <c r="AC57" s="358"/>
      <c r="AE57" s="450"/>
      <c r="AG57" s="358"/>
      <c r="AI57" s="450"/>
    </row>
  </sheetData>
  <mergeCells count="9">
    <mergeCell ref="O45:Q45"/>
    <mergeCell ref="P2:Q2"/>
    <mergeCell ref="O7:P7"/>
    <mergeCell ref="J8:M10"/>
    <mergeCell ref="D10:D15"/>
    <mergeCell ref="C41:D41"/>
    <mergeCell ref="O42:Q42"/>
    <mergeCell ref="O43:Q43"/>
    <mergeCell ref="O44:Q44"/>
  </mergeCells>
  <conditionalFormatting sqref="D16:D40">
    <cfRule type="cellIs" dxfId="6" priority="2" stopIfTrue="1" operator="greaterThan">
      <formula>1</formula>
    </cfRule>
  </conditionalFormatting>
  <conditionalFormatting sqref="E16:E40">
    <cfRule type="expression" dxfId="5" priority="3" stopIfTrue="1">
      <formula>$D16&gt;1</formula>
    </cfRule>
  </conditionalFormatting>
  <conditionalFormatting sqref="O7:P7">
    <cfRule type="containsBlanks" dxfId="4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15</xdr:col>
                    <xdr:colOff>152400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Option Button 2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Option Button 3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15</xdr:col>
                    <xdr:colOff>76200</xdr:colOff>
                    <xdr:row>9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89CC-44ED-4D6A-9C79-B4A269E22B3B}">
  <dimension ref="A2:AT40"/>
  <sheetViews>
    <sheetView showGridLines="0" showZeros="0" view="pageBreakPreview" zoomScaleNormal="100" workbookViewId="0">
      <selection activeCell="Q2" sqref="Q2:R2"/>
    </sheetView>
  </sheetViews>
  <sheetFormatPr defaultColWidth="8.88671875" defaultRowHeight="13.2" x14ac:dyDescent="0.25"/>
  <cols>
    <col min="1" max="1" width="12.44140625" customWidth="1"/>
    <col min="2" max="2" width="14" style="8" customWidth="1"/>
    <col min="3" max="3" width="14" style="35" customWidth="1"/>
    <col min="4" max="4" width="8.33203125" customWidth="1"/>
    <col min="5" max="5" width="10.44140625" style="8" customWidth="1"/>
    <col min="6" max="6" width="15.44140625" customWidth="1"/>
    <col min="7" max="7" width="15.88671875" customWidth="1"/>
    <col min="8" max="8" width="4" style="8" customWidth="1"/>
    <col min="9" max="9" width="13" customWidth="1"/>
    <col min="10" max="10" width="8.44140625" style="5" customWidth="1"/>
    <col min="11" max="11" width="6.44140625" customWidth="1"/>
    <col min="12" max="12" width="7" customWidth="1"/>
    <col min="13" max="13" width="7.5546875" customWidth="1"/>
    <col min="14" max="14" width="8.6640625" customWidth="1"/>
  </cols>
  <sheetData>
    <row r="2" spans="1:46" x14ac:dyDescent="0.25">
      <c r="E2" s="8">
        <v>0</v>
      </c>
    </row>
    <row r="3" spans="1:46" x14ac:dyDescent="0.25">
      <c r="AN3" s="1" t="s">
        <v>71</v>
      </c>
      <c r="AT3" s="1" t="s">
        <v>75</v>
      </c>
    </row>
    <row r="4" spans="1:46" x14ac:dyDescent="0.25">
      <c r="C4" s="71"/>
      <c r="H4" s="40"/>
      <c r="AN4" s="2" t="s">
        <v>74</v>
      </c>
      <c r="AT4" s="2" t="s">
        <v>73</v>
      </c>
    </row>
    <row r="5" spans="1:46" ht="30" x14ac:dyDescent="0.5">
      <c r="F5" s="72" t="s">
        <v>79</v>
      </c>
      <c r="AN5" s="1" t="s">
        <v>72</v>
      </c>
      <c r="AT5" s="1"/>
    </row>
    <row r="7" spans="1:46" x14ac:dyDescent="0.25">
      <c r="G7" s="78" t="s">
        <v>81</v>
      </c>
    </row>
    <row r="8" spans="1:46" ht="17.399999999999999" x14ac:dyDescent="0.3">
      <c r="F8" s="73" t="str">
        <f>jobname</f>
        <v>Cottonwood Creek WO#I5187109-00104</v>
      </c>
      <c r="G8" s="73"/>
      <c r="H8" s="74"/>
      <c r="I8" s="6"/>
      <c r="J8" s="74"/>
    </row>
    <row r="9" spans="1:46" ht="13.8" thickBot="1" x14ac:dyDescent="0.3">
      <c r="G9" s="41"/>
      <c r="J9" s="349" t="s">
        <v>2617</v>
      </c>
      <c r="K9" s="126"/>
      <c r="L9" s="126" t="s">
        <v>221</v>
      </c>
    </row>
    <row r="10" spans="1:46" ht="14.7" customHeight="1" x14ac:dyDescent="0.3">
      <c r="B10" s="212" t="s">
        <v>2507</v>
      </c>
      <c r="C10" s="214" t="s">
        <v>2509</v>
      </c>
      <c r="D10" s="124" t="s">
        <v>219</v>
      </c>
      <c r="E10" s="124" t="s">
        <v>2542</v>
      </c>
      <c r="F10" s="10"/>
      <c r="J10" s="48" t="s">
        <v>20</v>
      </c>
      <c r="K10" s="126" t="s">
        <v>205</v>
      </c>
      <c r="L10" s="126" t="s">
        <v>250</v>
      </c>
      <c r="M10" s="47" t="s">
        <v>80</v>
      </c>
      <c r="N10" s="47" t="s">
        <v>16</v>
      </c>
    </row>
    <row r="11" spans="1:46" ht="16.350000000000001" customHeight="1" thickBot="1" x14ac:dyDescent="0.35">
      <c r="B11" s="213" t="s">
        <v>2508</v>
      </c>
      <c r="C11" s="215" t="s">
        <v>2508</v>
      </c>
      <c r="D11" s="215" t="s">
        <v>3</v>
      </c>
      <c r="E11" s="125" t="s">
        <v>3</v>
      </c>
      <c r="F11" s="10"/>
      <c r="G11" s="46" t="s">
        <v>2</v>
      </c>
      <c r="H11" s="47" t="s">
        <v>12</v>
      </c>
      <c r="I11" s="129" t="s">
        <v>2511</v>
      </c>
      <c r="J11" s="48" t="s">
        <v>3</v>
      </c>
      <c r="K11" s="128" t="s">
        <v>206</v>
      </c>
      <c r="L11" s="126" t="s">
        <v>13</v>
      </c>
      <c r="M11" s="47" t="s">
        <v>15</v>
      </c>
      <c r="N11" s="47" t="s">
        <v>15</v>
      </c>
    </row>
    <row r="12" spans="1:46" x14ac:dyDescent="0.25">
      <c r="A12" t="s">
        <v>32</v>
      </c>
      <c r="B12" s="8">
        <f>'Worksheet (2)'!$AA$2</f>
        <v>33303</v>
      </c>
      <c r="C12" s="35" t="str">
        <f>+IF(H12&gt;0,'Worksheet (2)'!$B16," ")</f>
        <v xml:space="preserve"> </v>
      </c>
      <c r="D12" s="216" t="str">
        <f>IF(H12&gt;0,'Tickets (2)'!$C$13," ")</f>
        <v xml:space="preserve"> </v>
      </c>
      <c r="E12" s="58" t="str">
        <f>IF(H$12&gt;0,'Worksheet (2)'!$F16-2.5,IF('Worksheet (2)'!$J16&gt;0,'Worksheet (2)'!$F16-3.25," "))</f>
        <v xml:space="preserve"> </v>
      </c>
      <c r="F12" s="7" t="str">
        <f>IF(H12&gt;0,IF($I12="Tube 1.5","1 1/2 Tube",IF($I12="Tube 1.75","1 3/4 Tube",IF($I12="Tube 2.375","Heavy 2 in. Tube",IF($I12="Tube 1","1 in. Rollease"," "))))," ")</f>
        <v xml:space="preserve"> </v>
      </c>
      <c r="G12" s="65">
        <f>+'Worksheet (2)'!$C16</f>
        <v>0</v>
      </c>
      <c r="H12" s="56">
        <f>+'Worksheet (2)'!$D16</f>
        <v>0</v>
      </c>
      <c r="I12" s="58" t="str">
        <f>'Worksheet (2)'!$E16</f>
        <v>Tube 1.5</v>
      </c>
      <c r="J12" s="57" t="str">
        <f>IF('Worksheet (2)'!$K16&gt;0,'Worksheet (2)'!$F16," ")</f>
        <v xml:space="preserve"> </v>
      </c>
      <c r="K12" s="127">
        <f>+'Worksheet (2)'!$P16</f>
        <v>0</v>
      </c>
      <c r="L12" s="105">
        <f>'Worksheet (2)'!$Q16</f>
        <v>0</v>
      </c>
      <c r="M12" s="65">
        <f>+'Worksheet (2)'!$K16</f>
        <v>0</v>
      </c>
      <c r="N12" s="55">
        <f>+'Worksheet (2)'!$L16</f>
        <v>0</v>
      </c>
    </row>
    <row r="13" spans="1:46" x14ac:dyDescent="0.25">
      <c r="A13" t="s">
        <v>33</v>
      </c>
      <c r="B13" s="8">
        <f>'Worksheet (2)'!$AA$2</f>
        <v>33303</v>
      </c>
      <c r="C13" s="35" t="str">
        <f>+IF(H13&gt;0,'Worksheet (2)'!$B17," ")</f>
        <v xml:space="preserve"> </v>
      </c>
      <c r="D13" s="216" t="str">
        <f>IF(H13&gt;0,'Tickets (2)'!$C$25," ")</f>
        <v xml:space="preserve"> </v>
      </c>
      <c r="E13" s="58" t="str">
        <f>IF(H$12&gt;0,'Worksheet (2)'!$F17-2.5,IF('Worksheet (2)'!$J17&gt;0,'Worksheet (2)'!$F17-3.25," "))</f>
        <v xml:space="preserve"> </v>
      </c>
      <c r="F13" s="7" t="str">
        <f t="shared" ref="F13:F36" si="0">IF(H13&gt;0,IF($I13="Tube 1.5","1 1/2 Tube",IF($I13="Tube 1.75","1 3/4 Tube",IF($I13="Tube 2.375","Heavy 2 in. Tube",IF($I13="Tube 1","1 in. Rollease"," "))))," ")</f>
        <v xml:space="preserve"> </v>
      </c>
      <c r="G13" s="65">
        <f>+'Worksheet (2)'!$C17</f>
        <v>0</v>
      </c>
      <c r="H13" s="56">
        <f>+'Worksheet (2)'!$D17</f>
        <v>0</v>
      </c>
      <c r="I13" s="58" t="str">
        <f>'Worksheet (2)'!$E17</f>
        <v>Tube 1.5</v>
      </c>
      <c r="J13" s="57" t="str">
        <f>IF('Worksheet (2)'!$K17&gt;0,'Worksheet (2)'!$F17," ")</f>
        <v xml:space="preserve"> </v>
      </c>
      <c r="K13" s="127">
        <f>+'Worksheet (2)'!$P17</f>
        <v>0</v>
      </c>
      <c r="L13" s="105">
        <f>'Worksheet (2)'!$Q17</f>
        <v>0</v>
      </c>
      <c r="M13" s="65">
        <f>+'Worksheet (2)'!$K17</f>
        <v>0</v>
      </c>
      <c r="N13" s="55">
        <f>+'Worksheet (2)'!$L17</f>
        <v>0</v>
      </c>
    </row>
    <row r="14" spans="1:46" x14ac:dyDescent="0.25">
      <c r="A14" t="s">
        <v>34</v>
      </c>
      <c r="B14" s="8">
        <f>'Worksheet (2)'!$AA$2</f>
        <v>33303</v>
      </c>
      <c r="C14" s="35" t="str">
        <f>+IF(H14&gt;0,'Worksheet (2)'!$B18," ")</f>
        <v xml:space="preserve"> </v>
      </c>
      <c r="D14" s="216" t="str">
        <f>IF(H14&gt;0,'Tickets (2)'!$C$37," ")</f>
        <v xml:space="preserve"> </v>
      </c>
      <c r="E14" s="58" t="str">
        <f>IF(H$12&gt;0,'Worksheet (2)'!$F18-2.5,IF('Worksheet (2)'!$J18&gt;0,'Worksheet (2)'!$F18-3.25," "))</f>
        <v xml:space="preserve"> </v>
      </c>
      <c r="F14" s="7" t="str">
        <f t="shared" si="0"/>
        <v xml:space="preserve"> </v>
      </c>
      <c r="G14" s="65">
        <f>+'Worksheet (2)'!$C18</f>
        <v>0</v>
      </c>
      <c r="H14" s="56">
        <f>+'Worksheet (2)'!$D18</f>
        <v>0</v>
      </c>
      <c r="I14" s="58" t="str">
        <f>'Worksheet (2)'!$E18</f>
        <v>Tube 1.5</v>
      </c>
      <c r="J14" s="57" t="str">
        <f>IF('Worksheet (2)'!$K18&gt;0,'Worksheet (2)'!$F18," ")</f>
        <v xml:space="preserve"> </v>
      </c>
      <c r="K14" s="127">
        <f>+'Worksheet (2)'!$P18</f>
        <v>0</v>
      </c>
      <c r="L14" s="105">
        <f>'Worksheet (2)'!$Q18</f>
        <v>0</v>
      </c>
      <c r="M14" s="65">
        <f>+'Worksheet (2)'!$K18</f>
        <v>0</v>
      </c>
      <c r="N14" s="55">
        <f>+'Worksheet (2)'!$L18</f>
        <v>0</v>
      </c>
    </row>
    <row r="15" spans="1:46" x14ac:dyDescent="0.25">
      <c r="A15" t="s">
        <v>31</v>
      </c>
      <c r="B15" s="8">
        <f>'Worksheet (2)'!$AA$2</f>
        <v>33303</v>
      </c>
      <c r="C15" s="35" t="str">
        <f>+IF(H15&gt;0,'Worksheet (2)'!$B19," ")</f>
        <v xml:space="preserve"> </v>
      </c>
      <c r="D15" s="216" t="str">
        <f>IF(H15&gt;0,'Tickets (2)'!$C$49," ")</f>
        <v xml:space="preserve"> </v>
      </c>
      <c r="E15" s="58" t="str">
        <f>IF(H$12&gt;0,'Worksheet (2)'!$F19-2.5,IF('Worksheet (2)'!$J19&gt;0,'Worksheet (2)'!$F19-3.25," "))</f>
        <v xml:space="preserve"> </v>
      </c>
      <c r="F15" s="7" t="str">
        <f t="shared" si="0"/>
        <v xml:space="preserve"> </v>
      </c>
      <c r="G15" s="65">
        <f>+'Worksheet (2)'!$C19</f>
        <v>0</v>
      </c>
      <c r="H15" s="56">
        <f>+'Worksheet (2)'!$D19</f>
        <v>0</v>
      </c>
      <c r="I15" s="58" t="str">
        <f>'Worksheet (2)'!$E19</f>
        <v>Tube 1.5</v>
      </c>
      <c r="J15" s="57" t="str">
        <f>IF('Worksheet (2)'!$K19&gt;0,'Worksheet (2)'!$F19," ")</f>
        <v xml:space="preserve"> </v>
      </c>
      <c r="K15" s="127">
        <f>+'Worksheet (2)'!$P19</f>
        <v>0</v>
      </c>
      <c r="L15" s="105">
        <f>'Worksheet (2)'!$Q19</f>
        <v>0</v>
      </c>
      <c r="M15" s="65">
        <f>+'Worksheet (2)'!$K19</f>
        <v>0</v>
      </c>
      <c r="N15" s="55">
        <f>+'Worksheet (2)'!$L19</f>
        <v>0</v>
      </c>
    </row>
    <row r="16" spans="1:46" x14ac:dyDescent="0.25">
      <c r="A16" t="s">
        <v>35</v>
      </c>
      <c r="B16" s="8">
        <f>'Worksheet (2)'!$AA$2</f>
        <v>33303</v>
      </c>
      <c r="C16" s="35" t="str">
        <f>+IF(H16&gt;0,'Worksheet (2)'!$B20," ")</f>
        <v xml:space="preserve"> </v>
      </c>
      <c r="D16" s="216" t="str">
        <f>IF(H16&gt;0,'Tickets (2)'!$C$61," ")</f>
        <v xml:space="preserve"> </v>
      </c>
      <c r="E16" s="58" t="str">
        <f>IF(H$12&gt;0,'Worksheet (2)'!$F20-2.5,IF('Worksheet (2)'!$J20&gt;0,'Worksheet (2)'!$F20-3.25," "))</f>
        <v xml:space="preserve"> </v>
      </c>
      <c r="F16" s="7" t="str">
        <f t="shared" si="0"/>
        <v xml:space="preserve"> </v>
      </c>
      <c r="G16" s="65">
        <f>+'Worksheet (2)'!$C20</f>
        <v>0</v>
      </c>
      <c r="H16" s="56">
        <f>+'Worksheet (2)'!$D20</f>
        <v>0</v>
      </c>
      <c r="I16" s="58" t="str">
        <f>'Worksheet (2)'!$E20</f>
        <v>Tube 1.5</v>
      </c>
      <c r="J16" s="57" t="str">
        <f>IF('Worksheet (2)'!$K20&gt;0,'Worksheet (2)'!$F20," ")</f>
        <v xml:space="preserve"> </v>
      </c>
      <c r="K16" s="127">
        <f>+'Worksheet (2)'!$P20</f>
        <v>0</v>
      </c>
      <c r="L16" s="105">
        <f>'Worksheet (2)'!$Q20</f>
        <v>0</v>
      </c>
      <c r="M16" s="65">
        <f>+'Worksheet (2)'!$K20</f>
        <v>0</v>
      </c>
      <c r="N16" s="55">
        <f>+'Worksheet (2)'!$L20</f>
        <v>0</v>
      </c>
    </row>
    <row r="17" spans="1:14" x14ac:dyDescent="0.25">
      <c r="A17" t="s">
        <v>36</v>
      </c>
      <c r="B17" s="8">
        <f>'Worksheet (2)'!$AA$2</f>
        <v>33303</v>
      </c>
      <c r="C17" s="35" t="str">
        <f>+IF(H17&gt;0,'Worksheet (2)'!$B21," ")</f>
        <v xml:space="preserve"> </v>
      </c>
      <c r="D17" s="216" t="str">
        <f>IF(H17&gt;0,'Tickets (2)'!$S$13," ")</f>
        <v xml:space="preserve"> </v>
      </c>
      <c r="E17" s="58" t="str">
        <f>IF(H$12&gt;0,'Worksheet (2)'!$F21-2.5,IF('Worksheet (2)'!$J21&gt;0,'Worksheet (2)'!$F21-3.25," "))</f>
        <v xml:space="preserve"> </v>
      </c>
      <c r="F17" s="7" t="str">
        <f t="shared" si="0"/>
        <v xml:space="preserve"> </v>
      </c>
      <c r="G17" s="65">
        <f>+'Worksheet (2)'!$C21</f>
        <v>0</v>
      </c>
      <c r="H17" s="56">
        <f>+'Worksheet (2)'!$D21</f>
        <v>0</v>
      </c>
      <c r="I17" s="58" t="str">
        <f>'Worksheet (2)'!$E21</f>
        <v>Tube 1.5</v>
      </c>
      <c r="J17" s="57" t="str">
        <f>IF('Worksheet (2)'!$K21&gt;0,'Worksheet (2)'!$F21," ")</f>
        <v xml:space="preserve"> </v>
      </c>
      <c r="K17" s="127">
        <f>+'Worksheet (2)'!$P21</f>
        <v>0</v>
      </c>
      <c r="L17" s="105">
        <f>'Worksheet (2)'!$Q21</f>
        <v>0</v>
      </c>
      <c r="M17" s="65">
        <f>+'Worksheet (2)'!$K21</f>
        <v>0</v>
      </c>
      <c r="N17" s="55">
        <f>+'Worksheet (2)'!$L21</f>
        <v>0</v>
      </c>
    </row>
    <row r="18" spans="1:14" x14ac:dyDescent="0.25">
      <c r="A18" t="s">
        <v>37</v>
      </c>
      <c r="B18" s="8">
        <f>'Worksheet (2)'!$AA$2</f>
        <v>33303</v>
      </c>
      <c r="C18" s="35" t="str">
        <f>+IF(H18&gt;0,'Worksheet (2)'!$B22," ")</f>
        <v xml:space="preserve"> </v>
      </c>
      <c r="D18" s="216" t="str">
        <f>IF(H18&gt;0,'Tickets (2)'!$S$25," ")</f>
        <v xml:space="preserve"> </v>
      </c>
      <c r="E18" s="58" t="str">
        <f>IF(H$12&gt;0,'Worksheet (2)'!$F22-2.5,IF('Worksheet (2)'!$J22&gt;0,'Worksheet (2)'!$F22-3.25," "))</f>
        <v xml:space="preserve"> </v>
      </c>
      <c r="F18" s="7" t="str">
        <f t="shared" si="0"/>
        <v xml:space="preserve"> </v>
      </c>
      <c r="G18" s="65">
        <f>+'Worksheet (2)'!$C22</f>
        <v>0</v>
      </c>
      <c r="H18" s="56">
        <f>+'Worksheet (2)'!$D22</f>
        <v>0</v>
      </c>
      <c r="I18" s="58" t="str">
        <f>'Worksheet (2)'!$E22</f>
        <v>Tube 1.5</v>
      </c>
      <c r="J18" s="57" t="str">
        <f>IF('Worksheet (2)'!$K22&gt;0,'Worksheet (2)'!$F22," ")</f>
        <v xml:space="preserve"> </v>
      </c>
      <c r="K18" s="127">
        <f>+'Worksheet (2)'!$P22</f>
        <v>0</v>
      </c>
      <c r="L18" s="105">
        <f>'Worksheet (2)'!$Q22</f>
        <v>0</v>
      </c>
      <c r="M18" s="65">
        <f>+'Worksheet (2)'!$K22</f>
        <v>0</v>
      </c>
      <c r="N18" s="55">
        <f>+'Worksheet (2)'!$L22</f>
        <v>0</v>
      </c>
    </row>
    <row r="19" spans="1:14" x14ac:dyDescent="0.25">
      <c r="A19" t="s">
        <v>38</v>
      </c>
      <c r="B19" s="8">
        <f>'Worksheet (2)'!$AA$2</f>
        <v>33303</v>
      </c>
      <c r="C19" s="35" t="str">
        <f>+IF(H19&gt;0,'Worksheet (2)'!$B23," ")</f>
        <v xml:space="preserve"> </v>
      </c>
      <c r="D19" s="216" t="str">
        <f>IF(H19&gt;0,'Tickets (2)'!$S$37," ")</f>
        <v xml:space="preserve"> </v>
      </c>
      <c r="E19" s="58" t="str">
        <f>IF(H$12&gt;0,'Worksheet (2)'!$F23-2.5,IF('Worksheet (2)'!$J23&gt;0,'Worksheet (2)'!$F23-3.25," "))</f>
        <v xml:space="preserve"> </v>
      </c>
      <c r="F19" s="7" t="str">
        <f t="shared" si="0"/>
        <v xml:space="preserve"> </v>
      </c>
      <c r="G19" s="65">
        <f>+'Worksheet (2)'!$C23</f>
        <v>0</v>
      </c>
      <c r="H19" s="56">
        <f>+'Worksheet (2)'!$D23</f>
        <v>0</v>
      </c>
      <c r="I19" s="58" t="str">
        <f>'Worksheet (2)'!$E23</f>
        <v>Tube 1.5</v>
      </c>
      <c r="J19" s="57" t="str">
        <f>IF('Worksheet (2)'!$K23&gt;0,'Worksheet (2)'!$F23," ")</f>
        <v xml:space="preserve"> </v>
      </c>
      <c r="K19" s="127">
        <f>+'Worksheet (2)'!$P23</f>
        <v>0</v>
      </c>
      <c r="L19" s="105">
        <f>'Worksheet (2)'!$Q23</f>
        <v>0</v>
      </c>
      <c r="M19" s="65">
        <f>+'Worksheet (2)'!$K23</f>
        <v>0</v>
      </c>
      <c r="N19" s="55">
        <f>+'Worksheet (2)'!$L23</f>
        <v>0</v>
      </c>
    </row>
    <row r="20" spans="1:14" x14ac:dyDescent="0.25">
      <c r="A20" t="s">
        <v>39</v>
      </c>
      <c r="B20" s="8">
        <f>'Worksheet (2)'!$AA$2</f>
        <v>33303</v>
      </c>
      <c r="C20" s="35" t="str">
        <f>+IF(H20&gt;0,'Worksheet (2)'!$B24," ")</f>
        <v xml:space="preserve"> </v>
      </c>
      <c r="D20" s="216" t="str">
        <f>IF(H20&gt;0,'Tickets (2)'!$S$49," ")</f>
        <v xml:space="preserve"> </v>
      </c>
      <c r="E20" s="58" t="str">
        <f>IF(H$12&gt;0,'Worksheet (2)'!$F24-2.5,IF('Worksheet (2)'!$J24&gt;0,'Worksheet (2)'!$F24-3.25," "))</f>
        <v xml:space="preserve"> </v>
      </c>
      <c r="F20" s="7" t="str">
        <f t="shared" si="0"/>
        <v xml:space="preserve"> </v>
      </c>
      <c r="G20" s="65">
        <f>+'Worksheet (2)'!$C24</f>
        <v>0</v>
      </c>
      <c r="H20" s="56">
        <f>+'Worksheet (2)'!$D24</f>
        <v>0</v>
      </c>
      <c r="I20" s="58" t="str">
        <f>'Worksheet (2)'!$E24</f>
        <v>Tube 1.5</v>
      </c>
      <c r="J20" s="57" t="str">
        <f>IF('Worksheet (2)'!$K24&gt;0,'Worksheet (2)'!$F24," ")</f>
        <v xml:space="preserve"> </v>
      </c>
      <c r="K20" s="127">
        <f>+'Worksheet (2)'!$P24</f>
        <v>0</v>
      </c>
      <c r="L20" s="105">
        <f>'Worksheet (2)'!$Q24</f>
        <v>0</v>
      </c>
      <c r="M20" s="65">
        <f>+'Worksheet (2)'!$K24</f>
        <v>0</v>
      </c>
      <c r="N20" s="55">
        <f>+'Worksheet (2)'!$L24</f>
        <v>0</v>
      </c>
    </row>
    <row r="21" spans="1:14" x14ac:dyDescent="0.25">
      <c r="A21" t="s">
        <v>40</v>
      </c>
      <c r="B21" s="8">
        <f>'Worksheet (2)'!$AA$2</f>
        <v>33303</v>
      </c>
      <c r="C21" s="35" t="str">
        <f>+IF(H21&gt;0,'Worksheet (2)'!$B25," ")</f>
        <v xml:space="preserve"> </v>
      </c>
      <c r="D21" s="216" t="str">
        <f>IF(H21&gt;0,'Tickets (2)'!$S$61," ")</f>
        <v xml:space="preserve"> </v>
      </c>
      <c r="E21" s="58" t="str">
        <f>IF(H$12&gt;0,'Worksheet (2)'!$F25-2.5,IF('Worksheet (2)'!$J25&gt;0,'Worksheet (2)'!$F25-3.25," "))</f>
        <v xml:space="preserve"> </v>
      </c>
      <c r="F21" s="7" t="str">
        <f t="shared" si="0"/>
        <v xml:space="preserve"> </v>
      </c>
      <c r="G21" s="65">
        <f>+'Worksheet (2)'!$C25</f>
        <v>0</v>
      </c>
      <c r="H21" s="56">
        <f>+'Worksheet (2)'!$D25</f>
        <v>0</v>
      </c>
      <c r="I21" s="58" t="str">
        <f>'Worksheet (2)'!$E25</f>
        <v>Tube 1.5</v>
      </c>
      <c r="J21" s="57" t="str">
        <f>IF('Worksheet (2)'!$K25&gt;0,'Worksheet (2)'!$F25," ")</f>
        <v xml:space="preserve"> </v>
      </c>
      <c r="K21" s="127">
        <f>+'Worksheet (2)'!$P25</f>
        <v>0</v>
      </c>
      <c r="L21" s="105">
        <f>'Worksheet (2)'!$Q25</f>
        <v>0</v>
      </c>
      <c r="M21" s="65">
        <f>+'Worksheet (2)'!$K25</f>
        <v>0</v>
      </c>
      <c r="N21" s="55">
        <f>+'Worksheet (2)'!$L25</f>
        <v>0</v>
      </c>
    </row>
    <row r="22" spans="1:14" x14ac:dyDescent="0.25">
      <c r="A22" t="s">
        <v>41</v>
      </c>
      <c r="B22" s="8">
        <f>'Worksheet (2)'!$AA$2</f>
        <v>33303</v>
      </c>
      <c r="C22" s="35" t="str">
        <f>+IF(H22&gt;0,'Worksheet (2)'!$B26," ")</f>
        <v xml:space="preserve"> </v>
      </c>
      <c r="D22" s="216" t="str">
        <f>IF(H22&gt;0,'Tickets (2)'!$AI$13," ")</f>
        <v xml:space="preserve"> </v>
      </c>
      <c r="E22" s="58" t="str">
        <f>IF(H$12&gt;0,'Worksheet (2)'!$F26-2.5,IF('Worksheet (2)'!$J26&gt;0,'Worksheet (2)'!$F26-3.25," "))</f>
        <v xml:space="preserve"> </v>
      </c>
      <c r="F22" s="7" t="str">
        <f t="shared" si="0"/>
        <v xml:space="preserve"> </v>
      </c>
      <c r="G22" s="65">
        <f>+'Worksheet (2)'!$C26</f>
        <v>0</v>
      </c>
      <c r="H22" s="56">
        <f>+'Worksheet (2)'!$D26</f>
        <v>0</v>
      </c>
      <c r="I22" s="58" t="str">
        <f>'Worksheet (2)'!$E26</f>
        <v>Tube 1.5</v>
      </c>
      <c r="J22" s="57" t="str">
        <f>IF('Worksheet (2)'!$K26&gt;0,'Worksheet (2)'!$F26," ")</f>
        <v xml:space="preserve"> </v>
      </c>
      <c r="K22" s="127">
        <f>+'Worksheet (2)'!$P26</f>
        <v>0</v>
      </c>
      <c r="L22" s="105">
        <f>'Worksheet (2)'!$Q26</f>
        <v>0</v>
      </c>
      <c r="M22" s="65">
        <f>+'Worksheet (2)'!$K26</f>
        <v>0</v>
      </c>
      <c r="N22" s="55">
        <f>+'Worksheet (2)'!$L26</f>
        <v>0</v>
      </c>
    </row>
    <row r="23" spans="1:14" x14ac:dyDescent="0.25">
      <c r="A23" t="s">
        <v>42</v>
      </c>
      <c r="B23" s="8">
        <f>'Worksheet (2)'!$AA$2</f>
        <v>33303</v>
      </c>
      <c r="C23" s="35" t="str">
        <f>+IF(H23&gt;0,'Worksheet (2)'!$B27," ")</f>
        <v xml:space="preserve"> </v>
      </c>
      <c r="D23" s="216" t="str">
        <f>IF(H23&gt;0,'Tickets (2)'!$AI$25," ")</f>
        <v xml:space="preserve"> </v>
      </c>
      <c r="E23" s="58" t="str">
        <f>IF(H$12&gt;0,'Worksheet (2)'!$F27-2.5,IF('Worksheet (2)'!$J27&gt;0,'Worksheet (2)'!$F27-3.25," "))</f>
        <v xml:space="preserve"> </v>
      </c>
      <c r="F23" s="7" t="str">
        <f t="shared" si="0"/>
        <v xml:space="preserve"> </v>
      </c>
      <c r="G23" s="65">
        <f>+'Worksheet (2)'!$C27</f>
        <v>0</v>
      </c>
      <c r="H23" s="56">
        <f>+'Worksheet (2)'!$D27</f>
        <v>0</v>
      </c>
      <c r="I23" s="58" t="str">
        <f>'Worksheet (2)'!$E27</f>
        <v>Tube 1.5</v>
      </c>
      <c r="J23" s="57" t="str">
        <f>IF('Worksheet (2)'!$K27&gt;0,'Worksheet (2)'!$F27," ")</f>
        <v xml:space="preserve"> </v>
      </c>
      <c r="K23" s="127">
        <f>+'Worksheet (2)'!$P27</f>
        <v>0</v>
      </c>
      <c r="L23" s="105">
        <f>'Worksheet (2)'!$Q27</f>
        <v>0</v>
      </c>
      <c r="M23" s="65">
        <f>+'Worksheet (2)'!$K27</f>
        <v>0</v>
      </c>
      <c r="N23" s="55">
        <f>+'Worksheet (2)'!$L27</f>
        <v>0</v>
      </c>
    </row>
    <row r="24" spans="1:14" x14ac:dyDescent="0.25">
      <c r="A24" t="s">
        <v>43</v>
      </c>
      <c r="B24" s="8">
        <f>'Worksheet (2)'!$AA$2</f>
        <v>33303</v>
      </c>
      <c r="C24" s="35" t="str">
        <f>+IF(H24&gt;0,'Worksheet (2)'!$B28," ")</f>
        <v xml:space="preserve"> </v>
      </c>
      <c r="D24" s="216" t="str">
        <f>IF(H24&gt;0,'Tickets (2)'!$AI$37," ")</f>
        <v xml:space="preserve"> </v>
      </c>
      <c r="E24" s="58" t="str">
        <f>IF(H$12&gt;0,'Worksheet (2)'!$F28-2.5,IF('Worksheet (2)'!$J28&gt;0,'Worksheet (2)'!$F28-3.25," "))</f>
        <v xml:space="preserve"> </v>
      </c>
      <c r="F24" s="7" t="str">
        <f t="shared" si="0"/>
        <v xml:space="preserve"> </v>
      </c>
      <c r="G24" s="65">
        <f>+'Worksheet (2)'!$C28</f>
        <v>0</v>
      </c>
      <c r="H24" s="56">
        <f>+'Worksheet (2)'!$D28</f>
        <v>0</v>
      </c>
      <c r="I24" s="58" t="str">
        <f>'Worksheet (2)'!$E28</f>
        <v>Tube 1.5</v>
      </c>
      <c r="J24" s="57" t="str">
        <f>IF('Worksheet (2)'!$K28&gt;0,'Worksheet (2)'!$F28," ")</f>
        <v xml:space="preserve"> </v>
      </c>
      <c r="K24" s="127">
        <f>+'Worksheet (2)'!$P28</f>
        <v>0</v>
      </c>
      <c r="L24" s="105">
        <f>'Worksheet (2)'!$Q28</f>
        <v>0</v>
      </c>
      <c r="M24" s="65">
        <f>+'Worksheet (2)'!$K28</f>
        <v>0</v>
      </c>
      <c r="N24" s="55">
        <f>+'Worksheet (2)'!$L28</f>
        <v>0</v>
      </c>
    </row>
    <row r="25" spans="1:14" x14ac:dyDescent="0.25">
      <c r="A25" t="s">
        <v>44</v>
      </c>
      <c r="B25" s="8">
        <f>'Worksheet (2)'!$AA$2</f>
        <v>33303</v>
      </c>
      <c r="C25" s="35" t="str">
        <f>+IF(H25&gt;0,'Worksheet (2)'!$B29," ")</f>
        <v xml:space="preserve"> </v>
      </c>
      <c r="D25" s="216" t="str">
        <f>IF(H25&gt;0,'Tickets (2)'!$AI$49," ")</f>
        <v xml:space="preserve"> </v>
      </c>
      <c r="E25" s="58" t="str">
        <f>IF(H$12&gt;0,'Worksheet (2)'!$F29-2.5,IF('Worksheet (2)'!$J29&gt;0,'Worksheet (2)'!$F29-3.25," "))</f>
        <v xml:space="preserve"> </v>
      </c>
      <c r="F25" s="7" t="str">
        <f t="shared" si="0"/>
        <v xml:space="preserve"> </v>
      </c>
      <c r="G25" s="65">
        <f>+'Worksheet (2)'!$C29</f>
        <v>0</v>
      </c>
      <c r="H25" s="56">
        <f>+'Worksheet (2)'!$D29</f>
        <v>0</v>
      </c>
      <c r="I25" s="58" t="str">
        <f>'Worksheet (2)'!$E29</f>
        <v>Tube 1.5</v>
      </c>
      <c r="J25" s="57" t="str">
        <f>IF('Worksheet (2)'!$K29&gt;0,'Worksheet (2)'!$F29," ")</f>
        <v xml:space="preserve"> </v>
      </c>
      <c r="K25" s="127">
        <f>+'Worksheet (2)'!$P29</f>
        <v>0</v>
      </c>
      <c r="L25" s="105">
        <f>'Worksheet (2)'!$Q29</f>
        <v>0</v>
      </c>
      <c r="M25" s="65">
        <f>+'Worksheet (2)'!$K29</f>
        <v>0</v>
      </c>
      <c r="N25" s="55">
        <f>+'Worksheet (2)'!$L29</f>
        <v>0</v>
      </c>
    </row>
    <row r="26" spans="1:14" x14ac:dyDescent="0.25">
      <c r="A26" t="s">
        <v>45</v>
      </c>
      <c r="B26" s="8">
        <f>'Worksheet (2)'!$AA$2</f>
        <v>33303</v>
      </c>
      <c r="C26" s="35" t="str">
        <f>+IF(H26&gt;0,'Worksheet (2)'!$B30," ")</f>
        <v xml:space="preserve"> </v>
      </c>
      <c r="D26" s="216" t="str">
        <f>IF(H26&gt;0,'Tickets (2)'!$AI$61," ")</f>
        <v xml:space="preserve"> </v>
      </c>
      <c r="E26" s="58" t="str">
        <f>IF(H$12&gt;0,'Worksheet (2)'!$F30-2.5,IF('Worksheet (2)'!$J30&gt;0,'Worksheet (2)'!$F30-3.25," "))</f>
        <v xml:space="preserve"> </v>
      </c>
      <c r="F26" s="7" t="str">
        <f t="shared" si="0"/>
        <v xml:space="preserve"> </v>
      </c>
      <c r="G26" s="65">
        <f>+'Worksheet (2)'!$C30</f>
        <v>0</v>
      </c>
      <c r="H26" s="56">
        <f>+'Worksheet (2)'!$D30</f>
        <v>0</v>
      </c>
      <c r="I26" s="58" t="str">
        <f>'Worksheet (2)'!$E30</f>
        <v>Tube 1.5</v>
      </c>
      <c r="J26" s="57" t="str">
        <f>IF('Worksheet (2)'!$K30&gt;0,'Worksheet (2)'!$F30," ")</f>
        <v xml:space="preserve"> </v>
      </c>
      <c r="K26" s="127">
        <f>+'Worksheet (2)'!$P30</f>
        <v>0</v>
      </c>
      <c r="L26" s="105">
        <f>'Worksheet (2)'!$Q30</f>
        <v>0</v>
      </c>
      <c r="M26" s="65">
        <f>+'Worksheet (2)'!$K30</f>
        <v>0</v>
      </c>
      <c r="N26" s="55">
        <f>+'Worksheet (2)'!$L30</f>
        <v>0</v>
      </c>
    </row>
    <row r="27" spans="1:14" x14ac:dyDescent="0.25">
      <c r="A27" t="s">
        <v>46</v>
      </c>
      <c r="B27" s="8">
        <f>'Worksheet (2)'!$AA$2</f>
        <v>33303</v>
      </c>
      <c r="C27" s="35" t="str">
        <f>+IF(H27&gt;0,'Worksheet (2)'!$B31," ")</f>
        <v xml:space="preserve"> </v>
      </c>
      <c r="D27" s="216" t="str">
        <f>IF(H27&gt;0,'Tickets (2)'!$AY$13," ")</f>
        <v xml:space="preserve"> </v>
      </c>
      <c r="E27" s="58" t="str">
        <f>IF(H$12&gt;0,'Worksheet (2)'!$F31-2.5,IF('Worksheet (2)'!$J31&gt;0,'Worksheet (2)'!$F31-3.25," "))</f>
        <v xml:space="preserve"> </v>
      </c>
      <c r="F27" s="7" t="str">
        <f t="shared" si="0"/>
        <v xml:space="preserve"> </v>
      </c>
      <c r="G27" s="65">
        <f>+'Worksheet (2)'!$C31</f>
        <v>0</v>
      </c>
      <c r="H27" s="56">
        <f>+'Worksheet (2)'!$D31</f>
        <v>0</v>
      </c>
      <c r="I27" s="58" t="str">
        <f>'Worksheet (2)'!$E31</f>
        <v>Tube 1.5</v>
      </c>
      <c r="J27" s="57" t="str">
        <f>IF('Worksheet (2)'!$K31&gt;0,'Worksheet (2)'!$F31," ")</f>
        <v xml:space="preserve"> </v>
      </c>
      <c r="K27" s="127">
        <f>+'Worksheet (2)'!$P31</f>
        <v>0</v>
      </c>
      <c r="L27" s="105">
        <f>'Worksheet (2)'!$Q31</f>
        <v>0</v>
      </c>
      <c r="M27" s="65">
        <f>+'Worksheet (2)'!$K31</f>
        <v>0</v>
      </c>
      <c r="N27" s="55">
        <f>+'Worksheet (2)'!$L31</f>
        <v>0</v>
      </c>
    </row>
    <row r="28" spans="1:14" x14ac:dyDescent="0.25">
      <c r="A28" t="s">
        <v>47</v>
      </c>
      <c r="B28" s="8">
        <f>'Worksheet (2)'!$AA$2</f>
        <v>33303</v>
      </c>
      <c r="C28" s="35" t="str">
        <f>+IF(H28&gt;0,'Worksheet (2)'!$B32," ")</f>
        <v xml:space="preserve"> </v>
      </c>
      <c r="D28" s="216" t="str">
        <f>IF(H28&gt;0,'Tickets (2)'!$AY$25," ")</f>
        <v xml:space="preserve"> </v>
      </c>
      <c r="E28" s="58" t="str">
        <f>IF(H$12&gt;0,'Worksheet (2)'!$F32-2.5,IF('Worksheet (2)'!$J32&gt;0,'Worksheet (2)'!$F32-3.25," "))</f>
        <v xml:space="preserve"> </v>
      </c>
      <c r="F28" s="7" t="str">
        <f t="shared" si="0"/>
        <v xml:space="preserve"> </v>
      </c>
      <c r="G28" s="65">
        <f>+'Worksheet (2)'!$C32</f>
        <v>0</v>
      </c>
      <c r="H28" s="56">
        <f>+'Worksheet (2)'!$D32</f>
        <v>0</v>
      </c>
      <c r="I28" s="58" t="str">
        <f>'Worksheet (2)'!$E32</f>
        <v>Tube 1.5</v>
      </c>
      <c r="J28" s="57" t="str">
        <f>IF('Worksheet (2)'!$K32&gt;0,'Worksheet (2)'!$F32," ")</f>
        <v xml:space="preserve"> </v>
      </c>
      <c r="K28" s="127">
        <f>+'Worksheet (2)'!$P32</f>
        <v>0</v>
      </c>
      <c r="L28" s="105">
        <f>'Worksheet (2)'!$Q32</f>
        <v>0</v>
      </c>
      <c r="M28" s="65">
        <f>+'Worksheet (2)'!$K32</f>
        <v>0</v>
      </c>
      <c r="N28" s="55">
        <f>+'Worksheet (2)'!$L32</f>
        <v>0</v>
      </c>
    </row>
    <row r="29" spans="1:14" x14ac:dyDescent="0.25">
      <c r="A29" t="s">
        <v>48</v>
      </c>
      <c r="B29" s="8">
        <f>'Worksheet (2)'!$AA$2</f>
        <v>33303</v>
      </c>
      <c r="C29" s="35" t="str">
        <f>+IF(H29&gt;0,'Worksheet (2)'!$B33," ")</f>
        <v xml:space="preserve"> </v>
      </c>
      <c r="D29" s="216" t="str">
        <f>IF(H29&gt;0,'Tickets (2)'!$AY$37," ")</f>
        <v xml:space="preserve"> </v>
      </c>
      <c r="E29" s="58" t="str">
        <f>IF(H$12&gt;0,'Worksheet (2)'!$F33-2.5,IF('Worksheet (2)'!$J33&gt;0,'Worksheet (2)'!$F33-3.25," "))</f>
        <v xml:space="preserve"> </v>
      </c>
      <c r="F29" s="7" t="str">
        <f t="shared" si="0"/>
        <v xml:space="preserve"> </v>
      </c>
      <c r="G29" s="65">
        <f>+'Worksheet (2)'!$C33</f>
        <v>0</v>
      </c>
      <c r="H29" s="56">
        <f>+'Worksheet (2)'!$D33</f>
        <v>0</v>
      </c>
      <c r="I29" s="58" t="str">
        <f>'Worksheet (2)'!$E33</f>
        <v>Tube 1.5</v>
      </c>
      <c r="J29" s="57" t="str">
        <f>IF('Worksheet (2)'!$K33&gt;0,'Worksheet (2)'!$F33," ")</f>
        <v xml:space="preserve"> </v>
      </c>
      <c r="K29" s="127">
        <f>+'Worksheet (2)'!$P33</f>
        <v>0</v>
      </c>
      <c r="L29" s="105">
        <f>'Worksheet (2)'!$Q33</f>
        <v>0</v>
      </c>
      <c r="M29" s="65">
        <f>+'Worksheet (2)'!$K33</f>
        <v>0</v>
      </c>
      <c r="N29" s="55">
        <f>+'Worksheet (2)'!$L33</f>
        <v>0</v>
      </c>
    </row>
    <row r="30" spans="1:14" x14ac:dyDescent="0.25">
      <c r="A30" t="s">
        <v>49</v>
      </c>
      <c r="B30" s="8">
        <f>'Worksheet (2)'!$AA$2</f>
        <v>33303</v>
      </c>
      <c r="C30" s="35" t="str">
        <f>+IF(H30&gt;0,'Worksheet (2)'!$B34," ")</f>
        <v xml:space="preserve"> </v>
      </c>
      <c r="D30" s="216" t="str">
        <f>IF(H30&gt;0,'Tickets (2)'!$AY$49," ")</f>
        <v xml:space="preserve"> </v>
      </c>
      <c r="E30" s="58" t="str">
        <f>IF(H$12&gt;0,'Worksheet (2)'!$F34-2.5,IF('Worksheet (2)'!$J34&gt;0,'Worksheet (2)'!$F34-3.25," "))</f>
        <v xml:space="preserve"> </v>
      </c>
      <c r="F30" s="7" t="str">
        <f t="shared" si="0"/>
        <v xml:space="preserve"> </v>
      </c>
      <c r="G30" s="65">
        <f>+'Worksheet (2)'!$C34</f>
        <v>0</v>
      </c>
      <c r="H30" s="56">
        <f>+'Worksheet (2)'!$D34</f>
        <v>0</v>
      </c>
      <c r="I30" s="58" t="str">
        <f>'Worksheet (2)'!$E34</f>
        <v>Tube 1.5</v>
      </c>
      <c r="J30" s="57" t="str">
        <f>IF('Worksheet (2)'!$K34&gt;0,'Worksheet (2)'!$F34," ")</f>
        <v xml:space="preserve"> </v>
      </c>
      <c r="K30" s="127">
        <f>+'Worksheet (2)'!$P34</f>
        <v>0</v>
      </c>
      <c r="L30" s="105">
        <f>'Worksheet (2)'!$Q34</f>
        <v>0</v>
      </c>
      <c r="M30" s="65">
        <f>+'Worksheet (2)'!$K34</f>
        <v>0</v>
      </c>
      <c r="N30" s="55">
        <f>+'Worksheet (2)'!$L34</f>
        <v>0</v>
      </c>
    </row>
    <row r="31" spans="1:14" x14ac:dyDescent="0.25">
      <c r="A31" t="s">
        <v>50</v>
      </c>
      <c r="B31" s="8">
        <f>'Worksheet (2)'!$AA$2</f>
        <v>33303</v>
      </c>
      <c r="C31" s="35" t="str">
        <f>+IF(H31&gt;0,'Worksheet (2)'!$B35," ")</f>
        <v xml:space="preserve"> </v>
      </c>
      <c r="D31" s="216" t="str">
        <f>IF(H31&gt;0,'Tickets (2)'!$AY$61," ")</f>
        <v xml:space="preserve"> </v>
      </c>
      <c r="E31" s="58" t="str">
        <f>IF(H$12&gt;0,'Worksheet (2)'!$F35-2.5,IF('Worksheet (2)'!$J35&gt;0,'Worksheet (2)'!$F35-3.25," "))</f>
        <v xml:space="preserve"> </v>
      </c>
      <c r="F31" s="7" t="str">
        <f t="shared" si="0"/>
        <v xml:space="preserve"> </v>
      </c>
      <c r="G31" s="65">
        <f>+'Worksheet (2)'!$C35</f>
        <v>0</v>
      </c>
      <c r="H31" s="56">
        <f>+'Worksheet (2)'!$D35</f>
        <v>0</v>
      </c>
      <c r="I31" s="58" t="str">
        <f>'Worksheet (2)'!$E35</f>
        <v>Tube 1.5</v>
      </c>
      <c r="J31" s="57" t="str">
        <f>IF('Worksheet (2)'!$K35&gt;0,'Worksheet (2)'!$F35," ")</f>
        <v xml:space="preserve"> </v>
      </c>
      <c r="K31" s="127">
        <f>+'Worksheet (2)'!$P35</f>
        <v>0</v>
      </c>
      <c r="L31" s="105">
        <f>'Worksheet (2)'!$Q35</f>
        <v>0</v>
      </c>
      <c r="M31" s="65">
        <f>+'Worksheet (2)'!$K35</f>
        <v>0</v>
      </c>
      <c r="N31" s="55">
        <f>+'Worksheet (2)'!$L35</f>
        <v>0</v>
      </c>
    </row>
    <row r="32" spans="1:14" x14ac:dyDescent="0.25">
      <c r="A32" t="s">
        <v>182</v>
      </c>
      <c r="B32" s="8">
        <f>'Worksheet (2)'!$AA$2</f>
        <v>33303</v>
      </c>
      <c r="C32" s="35" t="str">
        <f>+IF(H32&gt;0,'Worksheet (2)'!$B36," ")</f>
        <v xml:space="preserve"> </v>
      </c>
      <c r="D32" s="216" t="str">
        <f>IF(H32&gt;0,'Tickets (2)'!$BO$13," ")</f>
        <v xml:space="preserve"> </v>
      </c>
      <c r="E32" s="58" t="str">
        <f>IF(H$12&gt;0,'Worksheet (2)'!$F36-2.5,IF('Worksheet (2)'!$J36&gt;0,'Worksheet (2)'!$F36-3.25," "))</f>
        <v xml:space="preserve"> </v>
      </c>
      <c r="F32" s="7" t="str">
        <f t="shared" si="0"/>
        <v xml:space="preserve"> </v>
      </c>
      <c r="G32" s="65">
        <f>+'Worksheet (2)'!$C36</f>
        <v>0</v>
      </c>
      <c r="H32" s="56">
        <f>+'Worksheet (2)'!$D36</f>
        <v>0</v>
      </c>
      <c r="I32" s="58" t="str">
        <f>'Worksheet (2)'!$E36</f>
        <v>Tube 1.5</v>
      </c>
      <c r="J32" s="57" t="str">
        <f>IF('Worksheet (2)'!$K36&gt;0,'Worksheet (2)'!$F36," ")</f>
        <v xml:space="preserve"> </v>
      </c>
      <c r="K32" s="127">
        <f>+'Worksheet (2)'!$P36</f>
        <v>0</v>
      </c>
      <c r="L32" s="105">
        <f>'Worksheet (2)'!$Q36</f>
        <v>0</v>
      </c>
      <c r="M32" s="65">
        <f>+'Worksheet (2)'!$K36</f>
        <v>0</v>
      </c>
      <c r="N32" s="55">
        <f>+'Worksheet (2)'!$L36</f>
        <v>0</v>
      </c>
    </row>
    <row r="33" spans="1:14" x14ac:dyDescent="0.25">
      <c r="A33" t="s">
        <v>183</v>
      </c>
      <c r="B33" s="8">
        <f>'Worksheet (2)'!$AA$2</f>
        <v>33303</v>
      </c>
      <c r="C33" s="35" t="str">
        <f>+IF(H33&gt;0,'Worksheet (2)'!$B37," ")</f>
        <v xml:space="preserve"> </v>
      </c>
      <c r="D33" s="216" t="str">
        <f>IF(H33&gt;0,'Tickets (2)'!$BO$25," ")</f>
        <v xml:space="preserve"> </v>
      </c>
      <c r="E33" s="58" t="str">
        <f>IF(H$12&gt;0,'Worksheet (2)'!$F37-2.5,IF('Worksheet (2)'!$J37&gt;0,'Worksheet (2)'!$F37-3.25," "))</f>
        <v xml:space="preserve"> </v>
      </c>
      <c r="F33" s="7" t="str">
        <f t="shared" si="0"/>
        <v xml:space="preserve"> </v>
      </c>
      <c r="G33" s="65">
        <f>+'Worksheet (2)'!$C37</f>
        <v>0</v>
      </c>
      <c r="H33" s="56">
        <f>+'Worksheet (2)'!$D37</f>
        <v>0</v>
      </c>
      <c r="I33" s="58" t="str">
        <f>'Worksheet (2)'!$E37</f>
        <v>Tube 1.5</v>
      </c>
      <c r="J33" s="57" t="str">
        <f>IF('Worksheet (2)'!$K37&gt;0,'Worksheet (2)'!$F37," ")</f>
        <v xml:space="preserve"> </v>
      </c>
      <c r="K33" s="127">
        <f>+'Worksheet (2)'!$P37</f>
        <v>0</v>
      </c>
      <c r="L33" s="105">
        <f>'Worksheet (2)'!$Q37</f>
        <v>0</v>
      </c>
      <c r="M33" s="65">
        <f>+'Worksheet (2)'!$K37</f>
        <v>0</v>
      </c>
      <c r="N33" s="55">
        <f>+'Worksheet (2)'!$L37</f>
        <v>0</v>
      </c>
    </row>
    <row r="34" spans="1:14" x14ac:dyDescent="0.25">
      <c r="A34" t="s">
        <v>184</v>
      </c>
      <c r="B34" s="8">
        <f>'Worksheet (2)'!$AA$2</f>
        <v>33303</v>
      </c>
      <c r="C34" s="35" t="str">
        <f>+IF(H34&gt;0,'Worksheet (2)'!$B38," ")</f>
        <v xml:space="preserve"> </v>
      </c>
      <c r="D34" s="216" t="str">
        <f>IF(H34&gt;0,'Tickets (2)'!$BO$37," ")</f>
        <v xml:space="preserve"> </v>
      </c>
      <c r="E34" s="58" t="str">
        <f>IF(H$12&gt;0,'Worksheet (2)'!$F38-2.5,IF('Worksheet (2)'!$J38&gt;0,'Worksheet (2)'!$F38-3.25," "))</f>
        <v xml:space="preserve"> </v>
      </c>
      <c r="F34" s="7" t="str">
        <f t="shared" si="0"/>
        <v xml:space="preserve"> </v>
      </c>
      <c r="G34" s="65">
        <f>+'Worksheet (2)'!$C38</f>
        <v>0</v>
      </c>
      <c r="H34" s="56">
        <f>+'Worksheet (2)'!$D38</f>
        <v>0</v>
      </c>
      <c r="I34" s="58" t="str">
        <f>'Worksheet (2)'!$E38</f>
        <v>Tube 1.5</v>
      </c>
      <c r="J34" s="57" t="str">
        <f>IF('Worksheet (2)'!$K38&gt;0,'Worksheet (2)'!$F38," ")</f>
        <v xml:space="preserve"> </v>
      </c>
      <c r="K34" s="127">
        <f>+'Worksheet (2)'!$P38</f>
        <v>0</v>
      </c>
      <c r="L34" s="105">
        <f>'Worksheet (2)'!$Q38</f>
        <v>0</v>
      </c>
      <c r="M34" s="65">
        <f>+'Worksheet (2)'!$K38</f>
        <v>0</v>
      </c>
      <c r="N34" s="55">
        <f>+'Worksheet (2)'!$L38</f>
        <v>0</v>
      </c>
    </row>
    <row r="35" spans="1:14" x14ac:dyDescent="0.25">
      <c r="A35" t="s">
        <v>185</v>
      </c>
      <c r="B35" s="8">
        <f>'Worksheet (2)'!$AA$2</f>
        <v>33303</v>
      </c>
      <c r="C35" s="35" t="str">
        <f>+IF(H35&gt;0,'Worksheet (2)'!$B39," ")</f>
        <v xml:space="preserve"> </v>
      </c>
      <c r="D35" s="216" t="str">
        <f>IF(H35&gt;0,'Tickets (2)'!$BO$49," ")</f>
        <v xml:space="preserve"> </v>
      </c>
      <c r="E35" s="58" t="str">
        <f>IF(H$12&gt;0,'Worksheet (2)'!$F39-2.5,IF('Worksheet (2)'!$J39&gt;0,'Worksheet (2)'!$F39-3.25," "))</f>
        <v xml:space="preserve"> </v>
      </c>
      <c r="F35" s="7" t="str">
        <f t="shared" si="0"/>
        <v xml:space="preserve"> </v>
      </c>
      <c r="G35" s="65">
        <f>+'Worksheet (2)'!$C39</f>
        <v>0</v>
      </c>
      <c r="H35" s="56">
        <f>+'Worksheet (2)'!$D39</f>
        <v>0</v>
      </c>
      <c r="I35" s="58" t="str">
        <f>'Worksheet (2)'!$E39</f>
        <v>Tube 1.5</v>
      </c>
      <c r="J35" s="57" t="str">
        <f>IF('Worksheet (2)'!$K39&gt;0,'Worksheet (2)'!$F39," ")</f>
        <v xml:space="preserve"> </v>
      </c>
      <c r="K35" s="127">
        <f>+'Worksheet (2)'!$P39</f>
        <v>0</v>
      </c>
      <c r="L35" s="105">
        <f>'Worksheet (2)'!$Q39</f>
        <v>0</v>
      </c>
      <c r="M35" s="65">
        <f>+'Worksheet (2)'!$K39</f>
        <v>0</v>
      </c>
      <c r="N35" s="55">
        <f>+'Worksheet (2)'!$L39</f>
        <v>0</v>
      </c>
    </row>
    <row r="36" spans="1:14" x14ac:dyDescent="0.25">
      <c r="A36" t="s">
        <v>186</v>
      </c>
      <c r="B36" s="8">
        <f>'Worksheet (2)'!$AA$2</f>
        <v>33303</v>
      </c>
      <c r="C36" s="35" t="str">
        <f>+IF(H36&gt;0,'Worksheet (2)'!$B40," ")</f>
        <v xml:space="preserve"> </v>
      </c>
      <c r="D36" s="216" t="str">
        <f>IF(H36&gt;0,'Tickets (2)'!$BO$61," ")</f>
        <v xml:space="preserve"> </v>
      </c>
      <c r="E36" s="58" t="str">
        <f>IF(H$12&gt;0,'Worksheet (2)'!$F40-2.5,IF('Worksheet (2)'!$J40&gt;0,'Worksheet (2)'!$F40-3.25," "))</f>
        <v xml:space="preserve"> </v>
      </c>
      <c r="F36" s="7" t="str">
        <f t="shared" si="0"/>
        <v xml:space="preserve"> </v>
      </c>
      <c r="G36" s="65">
        <f>+'Worksheet (2)'!$C40</f>
        <v>0</v>
      </c>
      <c r="H36" s="56">
        <f>+'Worksheet (2)'!$D40</f>
        <v>0</v>
      </c>
      <c r="I36" s="58" t="str">
        <f>'Worksheet (2)'!$E40</f>
        <v>Tube 1.5</v>
      </c>
      <c r="J36" s="57" t="str">
        <f>IF('Worksheet (2)'!$K40&gt;0,'Worksheet (2)'!$F40," ")</f>
        <v xml:space="preserve"> </v>
      </c>
      <c r="K36" s="127">
        <f>+'Worksheet (2)'!$P40</f>
        <v>0</v>
      </c>
      <c r="L36" s="105">
        <f>'Worksheet (2)'!$Q40</f>
        <v>0</v>
      </c>
      <c r="M36" s="65">
        <f>+'Worksheet (2)'!$K40</f>
        <v>0</v>
      </c>
      <c r="N36" s="55">
        <f>+'Worksheet (2)'!$L40</f>
        <v>0</v>
      </c>
    </row>
    <row r="37" spans="1:14" s="9" customFormat="1" ht="15" x14ac:dyDescent="0.25">
      <c r="B37" s="60"/>
      <c r="C37" s="59"/>
      <c r="E37" s="60"/>
      <c r="H37" s="60">
        <f>SUM(H12:H36)</f>
        <v>0</v>
      </c>
      <c r="I37" s="9" t="s">
        <v>8</v>
      </c>
      <c r="J37" s="61"/>
    </row>
    <row r="38" spans="1:14" ht="22.8" x14ac:dyDescent="0.4">
      <c r="C38" s="351" t="s">
        <v>2623</v>
      </c>
      <c r="D38" s="67">
        <f>'Worksheet (2)'!O5</f>
        <v>2</v>
      </c>
      <c r="G38" s="46" t="s">
        <v>218</v>
      </c>
    </row>
    <row r="39" spans="1:14" ht="20.399999999999999" customHeight="1" x14ac:dyDescent="0.25">
      <c r="G39" s="117" t="s">
        <v>2620</v>
      </c>
      <c r="I39" s="1"/>
      <c r="J39" s="85"/>
      <c r="K39" s="8"/>
      <c r="L39" s="217" t="s">
        <v>2618</v>
      </c>
      <c r="N39" s="1"/>
    </row>
    <row r="40" spans="1:14" ht="24" customHeight="1" x14ac:dyDescent="0.25">
      <c r="G40" s="84" t="s">
        <v>217</v>
      </c>
      <c r="I40" s="1"/>
      <c r="J40" s="85"/>
      <c r="K40" s="8"/>
      <c r="L40" s="217" t="s">
        <v>2619</v>
      </c>
      <c r="N40" s="1"/>
    </row>
  </sheetData>
  <conditionalFormatting sqref="M12:M36">
    <cfRule type="containsText" dxfId="3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364C-FFC2-4DF3-BAC1-D0460FBA6128}">
  <dimension ref="A1:V57"/>
  <sheetViews>
    <sheetView showGridLines="0" view="pageBreakPreview" topLeftCell="A4" zoomScaleNormal="100" zoomScaleSheetLayoutView="100" workbookViewId="0">
      <selection activeCell="Q2" sqref="Q2:R2"/>
    </sheetView>
  </sheetViews>
  <sheetFormatPr defaultColWidth="8.88671875" defaultRowHeight="13.2" x14ac:dyDescent="0.25"/>
  <cols>
    <col min="1" max="1" width="8.88671875" style="354"/>
    <col min="2" max="2" width="9.5546875" style="449" customWidth="1"/>
    <col min="3" max="3" width="16" style="354" customWidth="1"/>
    <col min="4" max="4" width="3.109375" style="358" customWidth="1"/>
    <col min="5" max="5" width="8" style="354" customWidth="1"/>
    <col min="6" max="6" width="7" style="450" customWidth="1"/>
    <col min="7" max="7" width="2.109375" style="354" customWidth="1"/>
    <col min="8" max="8" width="7.109375" style="451" customWidth="1"/>
    <col min="9" max="9" width="3.44140625" style="354" customWidth="1"/>
    <col min="10" max="10" width="5.109375" style="354" customWidth="1"/>
    <col min="11" max="11" width="6.5546875" style="354" customWidth="1"/>
    <col min="12" max="12" width="7.6640625" style="354" customWidth="1"/>
    <col min="13" max="13" width="28.5546875" style="354" customWidth="1"/>
    <col min="14" max="14" width="1.109375" style="354" customWidth="1"/>
    <col min="15" max="15" width="29.109375" style="354" customWidth="1"/>
    <col min="16" max="16" width="5.109375" style="354" customWidth="1"/>
    <col min="17" max="17" width="5.88671875" style="354" customWidth="1"/>
    <col min="18" max="18" width="7.44140625" style="354" customWidth="1"/>
    <col min="19" max="16384" width="8.88671875" style="354"/>
  </cols>
  <sheetData>
    <row r="1" spans="2:18" ht="7.5" customHeight="1" x14ac:dyDescent="0.25"/>
    <row r="2" spans="2:18" ht="21" x14ac:dyDescent="0.4">
      <c r="J2" s="495" t="s">
        <v>86</v>
      </c>
      <c r="P2" s="42" t="s">
        <v>2629</v>
      </c>
      <c r="Q2" s="626">
        <f>'Worksheet (2)'!AA2</f>
        <v>33303</v>
      </c>
      <c r="R2" s="627"/>
    </row>
    <row r="3" spans="2:18" ht="12" customHeight="1" x14ac:dyDescent="0.3">
      <c r="B3" s="453"/>
      <c r="K3" s="454" t="str">
        <f>IF('Worksheet (2)'!$O$12,"*Final Measurements*","")</f>
        <v/>
      </c>
      <c r="M3" s="455">
        <f ca="1">TODAY()</f>
        <v>45653</v>
      </c>
      <c r="N3" s="455"/>
      <c r="P3" s="456"/>
    </row>
    <row r="4" spans="2:18" ht="12" customHeight="1" thickBot="1" x14ac:dyDescent="0.3">
      <c r="D4" s="457"/>
      <c r="O4" s="231"/>
      <c r="P4" s="232"/>
      <c r="Q4" s="231"/>
      <c r="R4" s="231"/>
    </row>
    <row r="5" spans="2:18" ht="13.5" customHeight="1" thickBot="1" x14ac:dyDescent="0.3">
      <c r="B5" s="622" t="s">
        <v>2634</v>
      </c>
      <c r="C5" s="622"/>
      <c r="D5" s="622"/>
      <c r="E5" s="622"/>
      <c r="F5" s="622"/>
      <c r="G5" s="622"/>
      <c r="H5" s="622"/>
      <c r="I5" s="622"/>
      <c r="J5" s="468"/>
      <c r="K5" s="458" t="s">
        <v>1</v>
      </c>
      <c r="L5" s="462" t="str">
        <f>IF('Worksheet (2)'!J5&gt;0,'Worksheet (2)'!J5," ")</f>
        <v>Cottonwood Creek WO#I5187109-00104</v>
      </c>
      <c r="M5" s="464"/>
      <c r="N5" s="509"/>
      <c r="O5" s="465" t="s">
        <v>2544</v>
      </c>
      <c r="P5" s="466">
        <f>'Worksheet (2)'!O5</f>
        <v>2</v>
      </c>
      <c r="Q5" s="234"/>
      <c r="R5" s="235"/>
    </row>
    <row r="6" spans="2:18" ht="13.5" customHeight="1" x14ac:dyDescent="0.25">
      <c r="B6" s="622"/>
      <c r="C6" s="622"/>
      <c r="D6" s="622"/>
      <c r="E6" s="622"/>
      <c r="F6" s="622"/>
      <c r="G6" s="622"/>
      <c r="H6" s="622"/>
      <c r="I6" s="622"/>
      <c r="J6" s="468"/>
      <c r="L6" s="462" t="str">
        <f>IF('Worksheet (2)'!J6&gt;0,'Worksheet (2)'!J6," ")</f>
        <v>1800 W 1800 N</v>
      </c>
      <c r="M6" s="463"/>
      <c r="N6" s="468"/>
      <c r="O6" s="234"/>
      <c r="P6" s="469"/>
      <c r="Q6" s="469"/>
      <c r="R6" s="468"/>
    </row>
    <row r="7" spans="2:18" ht="13.5" customHeight="1" x14ac:dyDescent="0.3">
      <c r="B7" s="622"/>
      <c r="C7" s="622"/>
      <c r="D7" s="622"/>
      <c r="E7" s="622"/>
      <c r="F7" s="622"/>
      <c r="G7" s="622"/>
      <c r="H7" s="622"/>
      <c r="I7" s="622"/>
      <c r="J7" s="468"/>
      <c r="L7" s="462" t="str">
        <f>IF('Worksheet (2)'!J7&gt;0,'Worksheet (2)'!J7," ")</f>
        <v>Farr West, UT 84404</v>
      </c>
      <c r="M7" s="463"/>
      <c r="N7" s="468"/>
      <c r="O7" s="303" t="s">
        <v>2589</v>
      </c>
      <c r="P7" s="605" t="str">
        <f>IF('Worksheet (2)'!$O$7&gt;0,'Worksheet (2)'!$O$7," ")</f>
        <v xml:space="preserve"> </v>
      </c>
      <c r="Q7" s="606"/>
      <c r="R7" s="468"/>
    </row>
    <row r="8" spans="2:18" ht="13.5" customHeight="1" x14ac:dyDescent="0.3">
      <c r="B8" s="496"/>
      <c r="C8" s="497"/>
      <c r="D8" s="498"/>
      <c r="E8" s="498"/>
      <c r="F8" s="498"/>
      <c r="G8" s="498"/>
      <c r="H8" s="498"/>
      <c r="I8" s="498"/>
      <c r="J8" s="468"/>
      <c r="K8" s="458" t="s">
        <v>192</v>
      </c>
      <c r="L8" s="354" t="str">
        <f>IF('Worksheet (2)'!J8&gt;0,'Worksheet (2)'!J8," ")</f>
        <v xml:space="preserve"> </v>
      </c>
      <c r="M8" s="468"/>
      <c r="N8" s="468"/>
      <c r="O8" s="234"/>
      <c r="P8" s="35" t="s">
        <v>193</v>
      </c>
      <c r="Q8" s="469"/>
      <c r="R8" s="468"/>
    </row>
    <row r="9" spans="2:18" ht="13.5" customHeight="1" x14ac:dyDescent="0.3">
      <c r="B9" s="496"/>
      <c r="C9" s="497"/>
      <c r="D9" s="499" t="s">
        <v>2635</v>
      </c>
      <c r="E9" s="500"/>
      <c r="F9" s="500"/>
      <c r="G9" s="500"/>
      <c r="H9" s="500"/>
      <c r="I9" s="498"/>
      <c r="J9" s="468"/>
      <c r="K9" s="458" t="s">
        <v>11</v>
      </c>
      <c r="L9" s="623" t="str">
        <f>IF('Worksheet (2)'!J9&gt;0,'Worksheet (2)'!J9," ")</f>
        <v xml:space="preserve"> </v>
      </c>
      <c r="M9" s="623"/>
      <c r="N9" s="358"/>
      <c r="O9" s="508" t="str">
        <f>IF('Worksheet (2)'!$C$9&gt;0,'Worksheet (2)'!$C$9," ")</f>
        <v xml:space="preserve"> </v>
      </c>
      <c r="P9" s="35" t="s">
        <v>11</v>
      </c>
      <c r="Q9" s="234"/>
      <c r="R9" s="235"/>
    </row>
    <row r="10" spans="2:18" ht="13.5" customHeight="1" x14ac:dyDescent="0.3">
      <c r="B10" s="496"/>
      <c r="C10" s="497"/>
      <c r="D10" s="498"/>
      <c r="E10" s="498"/>
      <c r="F10" s="498"/>
      <c r="G10" s="498"/>
      <c r="H10" s="498"/>
      <c r="I10" s="498"/>
      <c r="J10" s="468"/>
      <c r="K10" s="458" t="s">
        <v>5</v>
      </c>
      <c r="L10" s="624" t="str">
        <f>IF('Worksheet (2)'!J10&gt;0,'Worksheet (2)'!J10," ")</f>
        <v xml:space="preserve"> </v>
      </c>
      <c r="M10" s="624"/>
      <c r="O10" s="508" t="str">
        <f>IF('Worksheet (2)'!$C$10&gt;0,'Worksheet (2)'!$C$10," ")</f>
        <v xml:space="preserve"> </v>
      </c>
      <c r="P10" s="35" t="s">
        <v>5</v>
      </c>
      <c r="Q10" s="469"/>
      <c r="R10" s="468"/>
    </row>
    <row r="11" spans="2:18" ht="13.5" customHeight="1" x14ac:dyDescent="0.3">
      <c r="B11" s="496"/>
      <c r="C11" s="501"/>
      <c r="D11" s="499" t="s">
        <v>2636</v>
      </c>
      <c r="E11" s="500"/>
      <c r="F11" s="500"/>
      <c r="G11" s="500"/>
      <c r="H11" s="500"/>
      <c r="I11" s="498"/>
      <c r="J11" s="468"/>
      <c r="K11" s="458" t="s">
        <v>203</v>
      </c>
      <c r="L11" s="624" t="str">
        <f>IF('Worksheet (2)'!J11&gt;0,'Worksheet (2)'!J11," ")</f>
        <v xml:space="preserve"> </v>
      </c>
      <c r="M11" s="624"/>
      <c r="O11" s="508" t="str">
        <f>IF('Worksheet (2)'!$C$11&gt;0,'Worksheet (2)'!$C$11," ")</f>
        <v xml:space="preserve"> </v>
      </c>
      <c r="P11" s="116" t="s">
        <v>2637</v>
      </c>
      <c r="Q11" s="469"/>
      <c r="R11" s="468"/>
    </row>
    <row r="12" spans="2:18" ht="13.5" customHeight="1" x14ac:dyDescent="0.3">
      <c r="B12" s="496"/>
      <c r="C12" s="497"/>
      <c r="D12" s="608" t="s">
        <v>2633</v>
      </c>
      <c r="E12" s="498"/>
      <c r="F12" s="498"/>
      <c r="G12" s="498"/>
      <c r="H12" s="498"/>
      <c r="I12" s="498"/>
      <c r="J12" s="468"/>
      <c r="K12" s="458" t="s">
        <v>187</v>
      </c>
      <c r="L12" s="625" t="str">
        <f>IF('Worksheet (2)'!J12&gt;0,'Worksheet (2)'!J12," ")</f>
        <v xml:space="preserve"> </v>
      </c>
      <c r="M12" s="625"/>
      <c r="O12" s="508" t="str">
        <f>IF('Worksheet (2)'!$C$12&gt;0,'Worksheet (2)'!$C$12," ")</f>
        <v xml:space="preserve"> </v>
      </c>
      <c r="P12" s="35" t="s">
        <v>187</v>
      </c>
      <c r="Q12" s="237"/>
      <c r="R12" s="238"/>
    </row>
    <row r="13" spans="2:18" ht="30.75" customHeight="1" x14ac:dyDescent="0.3">
      <c r="B13" s="496"/>
      <c r="C13" s="497"/>
      <c r="D13" s="608"/>
      <c r="E13" s="498"/>
      <c r="F13" s="498"/>
      <c r="G13" s="498"/>
      <c r="H13" s="498"/>
      <c r="I13" s="498"/>
      <c r="J13" s="468"/>
      <c r="K13" s="458"/>
      <c r="L13" s="625" t="str">
        <f>IF('Worksheet (2)'!J13&gt;0,'Worksheet (2)'!J13," ")</f>
        <v xml:space="preserve"> </v>
      </c>
      <c r="M13" s="625"/>
      <c r="N13" s="468"/>
      <c r="O13" s="469"/>
      <c r="P13" s="237"/>
      <c r="Q13" s="237"/>
      <c r="R13" s="238"/>
    </row>
    <row r="14" spans="2:18" ht="12.75" customHeight="1" x14ac:dyDescent="0.25">
      <c r="D14" s="608"/>
      <c r="O14" s="471"/>
      <c r="P14" s="472"/>
      <c r="Q14" s="472"/>
      <c r="R14" s="473" t="s">
        <v>2590</v>
      </c>
    </row>
    <row r="15" spans="2:18" ht="12.75" customHeight="1" x14ac:dyDescent="0.25">
      <c r="D15" s="608"/>
      <c r="I15" s="356" t="s">
        <v>76</v>
      </c>
      <c r="J15" s="356" t="s">
        <v>13</v>
      </c>
      <c r="K15" s="356" t="s">
        <v>80</v>
      </c>
      <c r="L15" s="356" t="s">
        <v>16</v>
      </c>
      <c r="M15" s="356" t="s">
        <v>18</v>
      </c>
      <c r="N15" s="356"/>
      <c r="P15" s="474"/>
      <c r="Q15" s="473" t="s">
        <v>205</v>
      </c>
      <c r="R15" s="473" t="s">
        <v>250</v>
      </c>
    </row>
    <row r="16" spans="2:18" ht="13.65" customHeight="1" x14ac:dyDescent="0.3">
      <c r="C16" s="356" t="s">
        <v>2</v>
      </c>
      <c r="D16" s="608"/>
      <c r="E16" s="475" t="s">
        <v>2511</v>
      </c>
      <c r="F16" s="476" t="s">
        <v>3</v>
      </c>
      <c r="G16" s="477"/>
      <c r="H16" s="478"/>
      <c r="I16" s="356" t="s">
        <v>77</v>
      </c>
      <c r="J16" s="356" t="s">
        <v>14</v>
      </c>
      <c r="K16" s="356" t="s">
        <v>15</v>
      </c>
      <c r="L16" s="356" t="s">
        <v>15</v>
      </c>
      <c r="M16" s="356" t="s">
        <v>17</v>
      </c>
      <c r="N16" s="356"/>
      <c r="O16" s="356" t="s">
        <v>249</v>
      </c>
      <c r="P16" s="479" t="s">
        <v>248</v>
      </c>
      <c r="Q16" s="480" t="s">
        <v>206</v>
      </c>
      <c r="R16" s="480" t="s">
        <v>13</v>
      </c>
    </row>
    <row r="17" spans="1:18" ht="12.75" customHeight="1" x14ac:dyDescent="0.25">
      <c r="A17" s="354" t="s">
        <v>32</v>
      </c>
      <c r="B17" s="449" t="str">
        <f>HLOOKUP($P$5,'Data Sheet'!$B$2:$CM$27,2,FALSE)</f>
        <v>P2-RS1</v>
      </c>
      <c r="C17" s="481" t="str">
        <f>IF('Worksheet (2)'!C16&gt;0,'Worksheet (2)'!C16," ")</f>
        <v xml:space="preserve"> </v>
      </c>
      <c r="D17" s="502"/>
      <c r="E17" s="483" t="str">
        <f>'Worksheet (2)'!E16</f>
        <v>Tube 1.5</v>
      </c>
      <c r="F17" s="504" t="str">
        <f>IF('Worksheet (2)'!F16&gt;0,'Worksheet (2)'!F16," ")</f>
        <v xml:space="preserve"> </v>
      </c>
      <c r="G17" s="484" t="s">
        <v>4</v>
      </c>
      <c r="H17" s="518" t="str">
        <f>IF('Worksheet (2)'!H16&gt;0,'Worksheet (2)'!H16," ")</f>
        <v xml:space="preserve"> </v>
      </c>
      <c r="I17" s="481" t="str">
        <f>IF('Worksheet (2)'!I16&gt;0,'Worksheet (2)'!I16," ")</f>
        <v xml:space="preserve"> </v>
      </c>
      <c r="J17" s="481" t="str">
        <f>IF('Worksheet (2)'!J16&gt;0,'Worksheet (2)'!J16," ")</f>
        <v xml:space="preserve"> </v>
      </c>
      <c r="K17" s="481" t="str">
        <f>IF('Worksheet (2)'!K16&gt;0,'Worksheet (2)'!K16," ")</f>
        <v xml:space="preserve"> </v>
      </c>
      <c r="L17" s="481" t="str">
        <f>IF('Worksheet (2)'!L16&gt;0,'Worksheet (2)'!L16," ")</f>
        <v xml:space="preserve"> </v>
      </c>
      <c r="M17" s="481" t="str">
        <f>IF('Worksheet (2)'!M16&gt;0,'Worksheet (2)'!M16," ")</f>
        <v xml:space="preserve"> </v>
      </c>
      <c r="O17" s="481" t="str">
        <f>IF('Worksheet (2)'!N16&gt;0,'Worksheet (2)'!N16," ")</f>
        <v xml:space="preserve"> </v>
      </c>
      <c r="P17" s="481" t="str">
        <f>IF('Worksheet (2)'!O16&gt;0,'Worksheet (2)'!O16," ")</f>
        <v xml:space="preserve"> </v>
      </c>
      <c r="Q17" s="481" t="str">
        <f>IF('Worksheet (2)'!P16&gt;0,'Worksheet (2)'!P16," ")</f>
        <v xml:space="preserve"> </v>
      </c>
      <c r="R17" s="481" t="str">
        <f>IF('Worksheet (2)'!Q16&gt;0,'Worksheet (2)'!Q16," ")</f>
        <v xml:space="preserve"> </v>
      </c>
    </row>
    <row r="18" spans="1:18" ht="12.75" customHeight="1" x14ac:dyDescent="0.25">
      <c r="A18" s="354" t="s">
        <v>33</v>
      </c>
      <c r="B18" s="449" t="str">
        <f>HLOOKUP($P$5,'Data Sheet'!$B$2:$CM$27,3,FALSE)</f>
        <v>P2-RS2</v>
      </c>
      <c r="C18" s="481" t="str">
        <f>IF('Worksheet (2)'!C17&gt;0,'Worksheet (2)'!C17," ")</f>
        <v xml:space="preserve"> </v>
      </c>
      <c r="D18" s="482"/>
      <c r="E18" s="483" t="str">
        <f>'Worksheet (2)'!E17</f>
        <v>Tube 1.5</v>
      </c>
      <c r="F18" s="504" t="str">
        <f>IF('Worksheet (2)'!F17&gt;0,'Worksheet (2)'!F17," ")</f>
        <v xml:space="preserve"> </v>
      </c>
      <c r="G18" s="484" t="s">
        <v>4</v>
      </c>
      <c r="H18" s="518" t="str">
        <f>IF('Worksheet (2)'!H17&gt;0,'Worksheet (2)'!H17," ")</f>
        <v xml:space="preserve"> </v>
      </c>
      <c r="I18" s="481" t="str">
        <f>IF('Worksheet (2)'!I17&gt;0,'Worksheet (2)'!I17," ")</f>
        <v xml:space="preserve"> </v>
      </c>
      <c r="J18" s="481" t="str">
        <f>IF('Worksheet (2)'!J17&gt;0,'Worksheet (2)'!J17," ")</f>
        <v xml:space="preserve"> </v>
      </c>
      <c r="K18" s="481" t="str">
        <f>IF('Worksheet (2)'!K17&gt;0,'Worksheet (2)'!K17," ")</f>
        <v xml:space="preserve"> </v>
      </c>
      <c r="L18" s="481" t="str">
        <f>IF('Worksheet (2)'!L17&gt;0,'Worksheet (2)'!L17," ")</f>
        <v xml:space="preserve"> </v>
      </c>
      <c r="M18" s="481" t="str">
        <f>IF('Worksheet (2)'!M17&gt;0,'Worksheet (2)'!M17," ")</f>
        <v xml:space="preserve"> </v>
      </c>
      <c r="O18" s="481" t="str">
        <f>IF('Worksheet (2)'!N17&gt;0,'Worksheet (2)'!N17," ")</f>
        <v xml:space="preserve"> </v>
      </c>
      <c r="P18" s="481" t="str">
        <f>IF('Worksheet (2)'!O17&gt;0,'Worksheet (2)'!O17," ")</f>
        <v xml:space="preserve"> </v>
      </c>
      <c r="Q18" s="481" t="str">
        <f>IF('Worksheet (2)'!P17&gt;0,'Worksheet (2)'!P17," ")</f>
        <v xml:space="preserve"> </v>
      </c>
      <c r="R18" s="481" t="str">
        <f>IF('Worksheet (2)'!Q17&gt;0,'Worksheet (2)'!Q17," ")</f>
        <v xml:space="preserve"> </v>
      </c>
    </row>
    <row r="19" spans="1:18" ht="12.75" customHeight="1" x14ac:dyDescent="0.25">
      <c r="A19" s="354" t="s">
        <v>34</v>
      </c>
      <c r="B19" s="449" t="str">
        <f>HLOOKUP($P$5,'Data Sheet'!$B$2:$CM$27,4,FALSE)</f>
        <v>P2-RS3</v>
      </c>
      <c r="C19" s="481" t="str">
        <f>IF('Worksheet (2)'!C18&gt;0,'Worksheet (2)'!C18," ")</f>
        <v xml:space="preserve"> </v>
      </c>
      <c r="D19" s="482"/>
      <c r="E19" s="483" t="str">
        <f>'Worksheet (2)'!E18</f>
        <v>Tube 1.5</v>
      </c>
      <c r="F19" s="504" t="str">
        <f>IF('Worksheet (2)'!F18&gt;0,'Worksheet (2)'!F18," ")</f>
        <v xml:space="preserve"> </v>
      </c>
      <c r="G19" s="484" t="s">
        <v>4</v>
      </c>
      <c r="H19" s="518" t="str">
        <f>IF('Worksheet (2)'!H18&gt;0,'Worksheet (2)'!H18," ")</f>
        <v xml:space="preserve"> </v>
      </c>
      <c r="I19" s="481" t="str">
        <f>IF('Worksheet (2)'!I18&gt;0,'Worksheet (2)'!I18," ")</f>
        <v xml:space="preserve"> </v>
      </c>
      <c r="J19" s="481" t="str">
        <f>IF('Worksheet (2)'!J18&gt;0,'Worksheet (2)'!J18," ")</f>
        <v xml:space="preserve"> </v>
      </c>
      <c r="K19" s="481" t="str">
        <f>IF('Worksheet (2)'!K18&gt;0,'Worksheet (2)'!K18," ")</f>
        <v xml:space="preserve"> </v>
      </c>
      <c r="L19" s="481" t="str">
        <f>IF('Worksheet (2)'!L18&gt;0,'Worksheet (2)'!L18," ")</f>
        <v xml:space="preserve"> </v>
      </c>
      <c r="M19" s="481" t="str">
        <f>IF('Worksheet (2)'!M18&gt;0,'Worksheet (2)'!M18," ")</f>
        <v xml:space="preserve"> </v>
      </c>
      <c r="O19" s="481" t="str">
        <f>IF('Worksheet (2)'!N18&gt;0,'Worksheet (2)'!N18," ")</f>
        <v xml:space="preserve"> </v>
      </c>
      <c r="P19" s="481" t="str">
        <f>IF('Worksheet (2)'!O18&gt;0,'Worksheet (2)'!O18," ")</f>
        <v xml:space="preserve"> </v>
      </c>
      <c r="Q19" s="481" t="str">
        <f>IF('Worksheet (2)'!P18&gt;0,'Worksheet (2)'!P18," ")</f>
        <v xml:space="preserve"> </v>
      </c>
      <c r="R19" s="481" t="str">
        <f>IF('Worksheet (2)'!Q18&gt;0,'Worksheet (2)'!Q18," ")</f>
        <v xml:space="preserve"> </v>
      </c>
    </row>
    <row r="20" spans="1:18" ht="12.75" customHeight="1" x14ac:dyDescent="0.25">
      <c r="A20" s="354" t="s">
        <v>31</v>
      </c>
      <c r="B20" s="449" t="str">
        <f>HLOOKUP($P$5,'Data Sheet'!$B$2:$CM$27,5,FALSE)</f>
        <v>P2-RS4</v>
      </c>
      <c r="C20" s="481" t="str">
        <f>IF('Worksheet (2)'!C19&gt;0,'Worksheet (2)'!C19," ")</f>
        <v xml:space="preserve"> </v>
      </c>
      <c r="D20" s="482"/>
      <c r="E20" s="483" t="str">
        <f>'Worksheet (2)'!E19</f>
        <v>Tube 1.5</v>
      </c>
      <c r="F20" s="504" t="str">
        <f>IF('Worksheet (2)'!F19&gt;0,'Worksheet (2)'!F19," ")</f>
        <v xml:space="preserve"> </v>
      </c>
      <c r="G20" s="484" t="s">
        <v>4</v>
      </c>
      <c r="H20" s="518" t="str">
        <f>IF('Worksheet (2)'!H19&gt;0,'Worksheet (2)'!H19," ")</f>
        <v xml:space="preserve"> </v>
      </c>
      <c r="I20" s="481" t="str">
        <f>IF('Worksheet (2)'!I19&gt;0,'Worksheet (2)'!I19," ")</f>
        <v xml:space="preserve"> </v>
      </c>
      <c r="J20" s="481" t="str">
        <f>IF('Worksheet (2)'!J19&gt;0,'Worksheet (2)'!J19," ")</f>
        <v xml:space="preserve"> </v>
      </c>
      <c r="K20" s="481" t="str">
        <f>IF('Worksheet (2)'!K19&gt;0,'Worksheet (2)'!K19," ")</f>
        <v xml:space="preserve"> </v>
      </c>
      <c r="L20" s="481" t="str">
        <f>IF('Worksheet (2)'!L19&gt;0,'Worksheet (2)'!L19," ")</f>
        <v xml:space="preserve"> </v>
      </c>
      <c r="M20" s="481" t="str">
        <f>IF('Worksheet (2)'!M19&gt;0,'Worksheet (2)'!M19," ")</f>
        <v xml:space="preserve"> </v>
      </c>
      <c r="O20" s="481" t="str">
        <f>IF('Worksheet (2)'!N19&gt;0,'Worksheet (2)'!N19," ")</f>
        <v xml:space="preserve"> </v>
      </c>
      <c r="P20" s="481" t="str">
        <f>IF('Worksheet (2)'!O19&gt;0,'Worksheet (2)'!O19," ")</f>
        <v xml:space="preserve"> </v>
      </c>
      <c r="Q20" s="481" t="str">
        <f>IF('Worksheet (2)'!P19&gt;0,'Worksheet (2)'!P19," ")</f>
        <v xml:space="preserve"> </v>
      </c>
      <c r="R20" s="481" t="str">
        <f>IF('Worksheet (2)'!Q19&gt;0,'Worksheet (2)'!Q19," ")</f>
        <v xml:space="preserve"> </v>
      </c>
    </row>
    <row r="21" spans="1:18" ht="12.75" customHeight="1" x14ac:dyDescent="0.25">
      <c r="A21" s="354" t="s">
        <v>35</v>
      </c>
      <c r="B21" s="449" t="str">
        <f>HLOOKUP($P$5,'Data Sheet'!$B$2:$CM$27,6,FALSE)</f>
        <v>P2-RS5</v>
      </c>
      <c r="C21" s="481" t="str">
        <f>IF('Worksheet (2)'!C20&gt;0,'Worksheet (2)'!C20," ")</f>
        <v xml:space="preserve"> </v>
      </c>
      <c r="D21" s="482"/>
      <c r="E21" s="483" t="str">
        <f>'Worksheet (2)'!E20</f>
        <v>Tube 1.5</v>
      </c>
      <c r="F21" s="504" t="str">
        <f>IF('Worksheet (2)'!F20&gt;0,'Worksheet (2)'!F20," ")</f>
        <v xml:space="preserve"> </v>
      </c>
      <c r="G21" s="484" t="s">
        <v>4</v>
      </c>
      <c r="H21" s="518" t="str">
        <f>IF('Worksheet (2)'!H20&gt;0,'Worksheet (2)'!H20," ")</f>
        <v xml:space="preserve"> </v>
      </c>
      <c r="I21" s="481" t="str">
        <f>IF('Worksheet (2)'!I20&gt;0,'Worksheet (2)'!I20," ")</f>
        <v xml:space="preserve"> </v>
      </c>
      <c r="J21" s="481" t="str">
        <f>IF('Worksheet (2)'!J20&gt;0,'Worksheet (2)'!J20," ")</f>
        <v xml:space="preserve"> </v>
      </c>
      <c r="K21" s="481" t="str">
        <f>IF('Worksheet (2)'!K20&gt;0,'Worksheet (2)'!K20," ")</f>
        <v xml:space="preserve"> </v>
      </c>
      <c r="L21" s="481" t="str">
        <f>IF('Worksheet (2)'!L20&gt;0,'Worksheet (2)'!L20," ")</f>
        <v xml:space="preserve"> </v>
      </c>
      <c r="M21" s="481" t="str">
        <f>IF('Worksheet (2)'!M20&gt;0,'Worksheet (2)'!M20," ")</f>
        <v xml:space="preserve"> </v>
      </c>
      <c r="O21" s="481" t="str">
        <f>IF('Worksheet (2)'!N20&gt;0,'Worksheet (2)'!N20," ")</f>
        <v xml:space="preserve"> </v>
      </c>
      <c r="P21" s="481" t="str">
        <f>IF('Worksheet (2)'!O20&gt;0,'Worksheet (2)'!O20," ")</f>
        <v xml:space="preserve"> </v>
      </c>
      <c r="Q21" s="481" t="str">
        <f>IF('Worksheet (2)'!P20&gt;0,'Worksheet (2)'!P20," ")</f>
        <v xml:space="preserve"> </v>
      </c>
      <c r="R21" s="481" t="str">
        <f>IF('Worksheet (2)'!Q20&gt;0,'Worksheet (2)'!Q20," ")</f>
        <v xml:space="preserve"> </v>
      </c>
    </row>
    <row r="22" spans="1:18" ht="12.75" customHeight="1" x14ac:dyDescent="0.25">
      <c r="A22" s="354" t="s">
        <v>36</v>
      </c>
      <c r="B22" s="449" t="str">
        <f>HLOOKUP($P$5,'Data Sheet'!$B$2:$CM$27,7,FALSE)</f>
        <v>P2-RS6</v>
      </c>
      <c r="C22" s="481" t="str">
        <f>IF('Worksheet (2)'!C21&gt;0,'Worksheet (2)'!C21," ")</f>
        <v xml:space="preserve"> </v>
      </c>
      <c r="D22" s="482"/>
      <c r="E22" s="483" t="str">
        <f>'Worksheet (2)'!E21</f>
        <v>Tube 1.5</v>
      </c>
      <c r="F22" s="504" t="str">
        <f>IF('Worksheet (2)'!F21&gt;0,'Worksheet (2)'!F21," ")</f>
        <v xml:space="preserve"> </v>
      </c>
      <c r="G22" s="484" t="s">
        <v>4</v>
      </c>
      <c r="H22" s="518" t="str">
        <f>IF('Worksheet (2)'!H21&gt;0,'Worksheet (2)'!H21," ")</f>
        <v xml:space="preserve"> </v>
      </c>
      <c r="I22" s="481" t="str">
        <f>IF('Worksheet (2)'!I21&gt;0,'Worksheet (2)'!I21," ")</f>
        <v xml:space="preserve"> </v>
      </c>
      <c r="J22" s="481" t="str">
        <f>IF('Worksheet (2)'!J21&gt;0,'Worksheet (2)'!J21," ")</f>
        <v xml:space="preserve"> </v>
      </c>
      <c r="K22" s="481" t="str">
        <f>IF('Worksheet (2)'!K21&gt;0,'Worksheet (2)'!K21," ")</f>
        <v xml:space="preserve"> </v>
      </c>
      <c r="L22" s="481" t="str">
        <f>IF('Worksheet (2)'!L21&gt;0,'Worksheet (2)'!L21," ")</f>
        <v xml:space="preserve"> </v>
      </c>
      <c r="M22" s="481" t="str">
        <f>IF('Worksheet (2)'!M21&gt;0,'Worksheet (2)'!M21," ")</f>
        <v xml:space="preserve"> </v>
      </c>
      <c r="O22" s="481" t="str">
        <f>IF('Worksheet (2)'!N21&gt;0,'Worksheet (2)'!N21," ")</f>
        <v xml:space="preserve"> </v>
      </c>
      <c r="P22" s="481" t="str">
        <f>IF('Worksheet (2)'!O21&gt;0,'Worksheet (2)'!O21," ")</f>
        <v xml:space="preserve"> </v>
      </c>
      <c r="Q22" s="481" t="str">
        <f>IF('Worksheet (2)'!P21&gt;0,'Worksheet (2)'!P21," ")</f>
        <v xml:space="preserve"> </v>
      </c>
      <c r="R22" s="481" t="str">
        <f>IF('Worksheet (2)'!Q21&gt;0,'Worksheet (2)'!Q21," ")</f>
        <v xml:space="preserve"> </v>
      </c>
    </row>
    <row r="23" spans="1:18" ht="12.75" customHeight="1" x14ac:dyDescent="0.25">
      <c r="A23" s="354" t="s">
        <v>37</v>
      </c>
      <c r="B23" s="449" t="str">
        <f>HLOOKUP($P$5,'Data Sheet'!$B$2:$CM$27,8,FALSE)</f>
        <v>P2-RS7</v>
      </c>
      <c r="C23" s="481" t="str">
        <f>IF('Worksheet (2)'!C22&gt;0,'Worksheet (2)'!C22," ")</f>
        <v xml:space="preserve"> </v>
      </c>
      <c r="D23" s="482"/>
      <c r="E23" s="483" t="str">
        <f>'Worksheet (2)'!E22</f>
        <v>Tube 1.5</v>
      </c>
      <c r="F23" s="504" t="str">
        <f>IF('Worksheet (2)'!F22&gt;0,'Worksheet (2)'!F22," ")</f>
        <v xml:space="preserve"> </v>
      </c>
      <c r="G23" s="484" t="s">
        <v>4</v>
      </c>
      <c r="H23" s="518" t="str">
        <f>IF('Worksheet (2)'!H22&gt;0,'Worksheet (2)'!H22," ")</f>
        <v xml:space="preserve"> </v>
      </c>
      <c r="I23" s="481" t="str">
        <f>IF('Worksheet (2)'!I22&gt;0,'Worksheet (2)'!I22," ")</f>
        <v xml:space="preserve"> </v>
      </c>
      <c r="J23" s="481" t="str">
        <f>IF('Worksheet (2)'!J22&gt;0,'Worksheet (2)'!J22," ")</f>
        <v xml:space="preserve"> </v>
      </c>
      <c r="K23" s="481" t="str">
        <f>IF('Worksheet (2)'!K22&gt;0,'Worksheet (2)'!K22," ")</f>
        <v xml:space="preserve"> </v>
      </c>
      <c r="L23" s="481" t="str">
        <f>IF('Worksheet (2)'!L22&gt;0,'Worksheet (2)'!L22," ")</f>
        <v xml:space="preserve"> </v>
      </c>
      <c r="M23" s="481" t="str">
        <f>IF('Worksheet (2)'!M22&gt;0,'Worksheet (2)'!M22," ")</f>
        <v xml:space="preserve"> </v>
      </c>
      <c r="O23" s="481" t="str">
        <f>IF('Worksheet (2)'!N22&gt;0,'Worksheet (2)'!N22," ")</f>
        <v xml:space="preserve"> </v>
      </c>
      <c r="P23" s="481" t="str">
        <f>IF('Worksheet (2)'!O22&gt;0,'Worksheet (2)'!O22," ")</f>
        <v xml:space="preserve"> </v>
      </c>
      <c r="Q23" s="481" t="str">
        <f>IF('Worksheet (2)'!P22&gt;0,'Worksheet (2)'!P22," ")</f>
        <v xml:space="preserve"> </v>
      </c>
      <c r="R23" s="481" t="str">
        <f>IF('Worksheet (2)'!Q22&gt;0,'Worksheet (2)'!Q22," ")</f>
        <v xml:space="preserve"> </v>
      </c>
    </row>
    <row r="24" spans="1:18" ht="12.75" customHeight="1" x14ac:dyDescent="0.25">
      <c r="A24" s="354" t="s">
        <v>38</v>
      </c>
      <c r="B24" s="449" t="str">
        <f>HLOOKUP($P$5,'Data Sheet'!$B$2:$CM$27,9,FALSE)</f>
        <v>P2-RS8</v>
      </c>
      <c r="C24" s="481" t="str">
        <f>IF('Worksheet (2)'!C23&gt;0,'Worksheet (2)'!C23," ")</f>
        <v xml:space="preserve"> </v>
      </c>
      <c r="D24" s="482"/>
      <c r="E24" s="483" t="str">
        <f>'Worksheet (2)'!E23</f>
        <v>Tube 1.5</v>
      </c>
      <c r="F24" s="504" t="str">
        <f>IF('Worksheet (2)'!F23&gt;0,'Worksheet (2)'!F23," ")</f>
        <v xml:space="preserve"> </v>
      </c>
      <c r="G24" s="484" t="s">
        <v>4</v>
      </c>
      <c r="H24" s="518" t="str">
        <f>IF('Worksheet (2)'!H23&gt;0,'Worksheet (2)'!H23," ")</f>
        <v xml:space="preserve"> </v>
      </c>
      <c r="I24" s="481" t="str">
        <f>IF('Worksheet (2)'!I23&gt;0,'Worksheet (2)'!I23," ")</f>
        <v xml:space="preserve"> </v>
      </c>
      <c r="J24" s="481" t="str">
        <f>IF('Worksheet (2)'!J23&gt;0,'Worksheet (2)'!J23," ")</f>
        <v xml:space="preserve"> </v>
      </c>
      <c r="K24" s="481" t="str">
        <f>IF('Worksheet (2)'!K23&gt;0,'Worksheet (2)'!K23," ")</f>
        <v xml:space="preserve"> </v>
      </c>
      <c r="L24" s="481" t="str">
        <f>IF('Worksheet (2)'!L23&gt;0,'Worksheet (2)'!L23," ")</f>
        <v xml:space="preserve"> </v>
      </c>
      <c r="M24" s="481" t="str">
        <f>IF('Worksheet (2)'!M23&gt;0,'Worksheet (2)'!M23," ")</f>
        <v xml:space="preserve"> </v>
      </c>
      <c r="O24" s="481" t="str">
        <f>IF('Worksheet (2)'!N23&gt;0,'Worksheet (2)'!N23," ")</f>
        <v xml:space="preserve"> </v>
      </c>
      <c r="P24" s="481" t="str">
        <f>IF('Worksheet (2)'!O23&gt;0,'Worksheet (2)'!O23," ")</f>
        <v xml:space="preserve"> </v>
      </c>
      <c r="Q24" s="481" t="str">
        <f>IF('Worksheet (2)'!P23&gt;0,'Worksheet (2)'!P23," ")</f>
        <v xml:space="preserve"> </v>
      </c>
      <c r="R24" s="481" t="str">
        <f>IF('Worksheet (2)'!Q23&gt;0,'Worksheet (2)'!Q23," ")</f>
        <v xml:space="preserve"> </v>
      </c>
    </row>
    <row r="25" spans="1:18" ht="12.75" customHeight="1" x14ac:dyDescent="0.25">
      <c r="A25" s="354" t="s">
        <v>39</v>
      </c>
      <c r="B25" s="449" t="str">
        <f>HLOOKUP($P$5,'Data Sheet'!$B$2:$CM$27,10,FALSE)</f>
        <v>P2-RS9</v>
      </c>
      <c r="C25" s="481" t="str">
        <f>IF('Worksheet (2)'!C24&gt;0,'Worksheet (2)'!C24," ")</f>
        <v xml:space="preserve"> </v>
      </c>
      <c r="D25" s="482"/>
      <c r="E25" s="483" t="str">
        <f>'Worksheet (2)'!E24</f>
        <v>Tube 1.5</v>
      </c>
      <c r="F25" s="504" t="str">
        <f>IF('Worksheet (2)'!F24&gt;0,'Worksheet (2)'!F24," ")</f>
        <v xml:space="preserve"> </v>
      </c>
      <c r="G25" s="484" t="s">
        <v>4</v>
      </c>
      <c r="H25" s="518" t="str">
        <f>IF('Worksheet (2)'!H24&gt;0,'Worksheet (2)'!H24," ")</f>
        <v xml:space="preserve"> </v>
      </c>
      <c r="I25" s="481" t="str">
        <f>IF('Worksheet (2)'!I24&gt;0,'Worksheet (2)'!I24," ")</f>
        <v xml:space="preserve"> </v>
      </c>
      <c r="J25" s="481" t="str">
        <f>IF('Worksheet (2)'!J24&gt;0,'Worksheet (2)'!J24," ")</f>
        <v xml:space="preserve"> </v>
      </c>
      <c r="K25" s="481" t="str">
        <f>IF('Worksheet (2)'!K24&gt;0,'Worksheet (2)'!K24," ")</f>
        <v xml:space="preserve"> </v>
      </c>
      <c r="L25" s="481" t="str">
        <f>IF('Worksheet (2)'!L24&gt;0,'Worksheet (2)'!L24," ")</f>
        <v xml:space="preserve"> </v>
      </c>
      <c r="M25" s="481" t="str">
        <f>IF('Worksheet (2)'!M24&gt;0,'Worksheet (2)'!M24," ")</f>
        <v xml:space="preserve"> </v>
      </c>
      <c r="O25" s="481" t="str">
        <f>IF('Worksheet (2)'!N24&gt;0,'Worksheet (2)'!N24," ")</f>
        <v xml:space="preserve"> </v>
      </c>
      <c r="P25" s="481" t="str">
        <f>IF('Worksheet (2)'!O24&gt;0,'Worksheet (2)'!O24," ")</f>
        <v xml:space="preserve"> </v>
      </c>
      <c r="Q25" s="481" t="str">
        <f>IF('Worksheet (2)'!P24&gt;0,'Worksheet (2)'!P24," ")</f>
        <v xml:space="preserve"> </v>
      </c>
      <c r="R25" s="481" t="str">
        <f>IF('Worksheet (2)'!Q24&gt;0,'Worksheet (2)'!Q24," ")</f>
        <v xml:space="preserve"> </v>
      </c>
    </row>
    <row r="26" spans="1:18" ht="12.75" customHeight="1" x14ac:dyDescent="0.25">
      <c r="A26" s="354" t="s">
        <v>40</v>
      </c>
      <c r="B26" s="449" t="str">
        <f>HLOOKUP($P$5,'Data Sheet'!$B$2:$CM$27,11,FALSE)</f>
        <v>P2-RS10</v>
      </c>
      <c r="C26" s="481" t="str">
        <f>IF('Worksheet (2)'!C25&gt;0,'Worksheet (2)'!C25," ")</f>
        <v xml:space="preserve"> </v>
      </c>
      <c r="D26" s="484"/>
      <c r="E26" s="483" t="str">
        <f>'Worksheet (2)'!E25</f>
        <v>Tube 1.5</v>
      </c>
      <c r="F26" s="504" t="str">
        <f>IF('Worksheet (2)'!F25&gt;0,'Worksheet (2)'!F25," ")</f>
        <v xml:space="preserve"> </v>
      </c>
      <c r="G26" s="484" t="s">
        <v>4</v>
      </c>
      <c r="H26" s="518" t="str">
        <f>IF('Worksheet (2)'!H25&gt;0,'Worksheet (2)'!H25," ")</f>
        <v xml:space="preserve"> </v>
      </c>
      <c r="I26" s="481" t="str">
        <f>IF('Worksheet (2)'!I25&gt;0,'Worksheet (2)'!I25," ")</f>
        <v xml:space="preserve"> </v>
      </c>
      <c r="J26" s="481" t="str">
        <f>IF('Worksheet (2)'!J25&gt;0,'Worksheet (2)'!J25," ")</f>
        <v xml:space="preserve"> </v>
      </c>
      <c r="K26" s="481" t="str">
        <f>IF('Worksheet (2)'!K25&gt;0,'Worksheet (2)'!K25," ")</f>
        <v xml:space="preserve"> </v>
      </c>
      <c r="L26" s="481" t="str">
        <f>IF('Worksheet (2)'!L25&gt;0,'Worksheet (2)'!L25," ")</f>
        <v xml:space="preserve"> </v>
      </c>
      <c r="M26" s="481" t="str">
        <f>IF('Worksheet (2)'!M25&gt;0,'Worksheet (2)'!M25," ")</f>
        <v xml:space="preserve"> </v>
      </c>
      <c r="O26" s="481" t="str">
        <f>IF('Worksheet (2)'!N25&gt;0,'Worksheet (2)'!N25," ")</f>
        <v xml:space="preserve"> </v>
      </c>
      <c r="P26" s="481" t="str">
        <f>IF('Worksheet (2)'!O25&gt;0,'Worksheet (2)'!O25," ")</f>
        <v xml:space="preserve"> </v>
      </c>
      <c r="Q26" s="481" t="str">
        <f>IF('Worksheet (2)'!P25&gt;0,'Worksheet (2)'!P25," ")</f>
        <v xml:space="preserve"> </v>
      </c>
      <c r="R26" s="481" t="str">
        <f>IF('Worksheet (2)'!Q25&gt;0,'Worksheet (2)'!Q25," ")</f>
        <v xml:space="preserve"> </v>
      </c>
    </row>
    <row r="27" spans="1:18" ht="12.75" customHeight="1" x14ac:dyDescent="0.25">
      <c r="A27" s="354" t="s">
        <v>41</v>
      </c>
      <c r="B27" s="449" t="str">
        <f>HLOOKUP($P$5,'Data Sheet'!$B$2:$CM$27,12,FALSE)</f>
        <v>P2-RS11</v>
      </c>
      <c r="C27" s="481" t="str">
        <f>IF('Worksheet (2)'!C26&gt;0,'Worksheet (2)'!C26," ")</f>
        <v xml:space="preserve"> </v>
      </c>
      <c r="D27" s="484"/>
      <c r="E27" s="483" t="str">
        <f>'Worksheet (2)'!E26</f>
        <v>Tube 1.5</v>
      </c>
      <c r="F27" s="504" t="str">
        <f>IF('Worksheet (2)'!F26&gt;0,'Worksheet (2)'!F26," ")</f>
        <v xml:space="preserve"> </v>
      </c>
      <c r="G27" s="484" t="s">
        <v>4</v>
      </c>
      <c r="H27" s="518" t="str">
        <f>IF('Worksheet (2)'!H26&gt;0,'Worksheet (2)'!H26," ")</f>
        <v xml:space="preserve"> </v>
      </c>
      <c r="I27" s="481" t="str">
        <f>IF('Worksheet (2)'!I26&gt;0,'Worksheet (2)'!I26," ")</f>
        <v xml:space="preserve"> </v>
      </c>
      <c r="J27" s="481" t="str">
        <f>IF('Worksheet (2)'!J26&gt;0,'Worksheet (2)'!J26," ")</f>
        <v xml:space="preserve"> </v>
      </c>
      <c r="K27" s="481" t="str">
        <f>IF('Worksheet (2)'!K26&gt;0,'Worksheet (2)'!K26," ")</f>
        <v xml:space="preserve"> </v>
      </c>
      <c r="L27" s="481" t="str">
        <f>IF('Worksheet (2)'!L26&gt;0,'Worksheet (2)'!L26," ")</f>
        <v xml:space="preserve"> </v>
      </c>
      <c r="M27" s="481" t="str">
        <f>IF('Worksheet (2)'!M26&gt;0,'Worksheet (2)'!M26," ")</f>
        <v xml:space="preserve"> </v>
      </c>
      <c r="O27" s="481" t="str">
        <f>IF('Worksheet (2)'!N26&gt;0,'Worksheet (2)'!N26," ")</f>
        <v xml:space="preserve"> </v>
      </c>
      <c r="P27" s="481" t="str">
        <f>IF('Worksheet (2)'!O26&gt;0,'Worksheet (2)'!O26," ")</f>
        <v xml:space="preserve"> </v>
      </c>
      <c r="Q27" s="481" t="str">
        <f>IF('Worksheet (2)'!P26&gt;0,'Worksheet (2)'!P26," ")</f>
        <v xml:space="preserve"> </v>
      </c>
      <c r="R27" s="481" t="str">
        <f>IF('Worksheet (2)'!Q26&gt;0,'Worksheet (2)'!Q26," ")</f>
        <v xml:space="preserve"> </v>
      </c>
    </row>
    <row r="28" spans="1:18" ht="12.75" customHeight="1" x14ac:dyDescent="0.25">
      <c r="A28" s="354" t="s">
        <v>42</v>
      </c>
      <c r="B28" s="449" t="str">
        <f>HLOOKUP($P$5,'Data Sheet'!$B$2:$CM$27,13,FALSE)</f>
        <v>P2-RS12</v>
      </c>
      <c r="C28" s="481" t="str">
        <f>IF('Worksheet (2)'!C27&gt;0,'Worksheet (2)'!C27," ")</f>
        <v xml:space="preserve"> </v>
      </c>
      <c r="D28" s="484"/>
      <c r="E28" s="483" t="str">
        <f>'Worksheet (2)'!E27</f>
        <v>Tube 1.5</v>
      </c>
      <c r="F28" s="504" t="str">
        <f>IF('Worksheet (2)'!F27&gt;0,'Worksheet (2)'!F27," ")</f>
        <v xml:space="preserve"> </v>
      </c>
      <c r="G28" s="484" t="s">
        <v>4</v>
      </c>
      <c r="H28" s="518" t="str">
        <f>IF('Worksheet (2)'!H27&gt;0,'Worksheet (2)'!H27," ")</f>
        <v xml:space="preserve"> </v>
      </c>
      <c r="I28" s="481" t="str">
        <f>IF('Worksheet (2)'!I27&gt;0,'Worksheet (2)'!I27," ")</f>
        <v xml:space="preserve"> </v>
      </c>
      <c r="J28" s="481" t="str">
        <f>IF('Worksheet (2)'!J27&gt;0,'Worksheet (2)'!J27," ")</f>
        <v xml:space="preserve"> </v>
      </c>
      <c r="K28" s="481" t="str">
        <f>IF('Worksheet (2)'!K27&gt;0,'Worksheet (2)'!K27," ")</f>
        <v xml:space="preserve"> </v>
      </c>
      <c r="L28" s="481" t="str">
        <f>IF('Worksheet (2)'!L27&gt;0,'Worksheet (2)'!L27," ")</f>
        <v xml:space="preserve"> </v>
      </c>
      <c r="M28" s="481" t="str">
        <f>IF('Worksheet (2)'!M27&gt;0,'Worksheet (2)'!M27," ")</f>
        <v xml:space="preserve"> </v>
      </c>
      <c r="O28" s="481" t="str">
        <f>IF('Worksheet (2)'!N27&gt;0,'Worksheet (2)'!N27," ")</f>
        <v xml:space="preserve"> </v>
      </c>
      <c r="P28" s="481" t="str">
        <f>IF('Worksheet (2)'!O27&gt;0,'Worksheet (2)'!O27," ")</f>
        <v xml:space="preserve"> </v>
      </c>
      <c r="Q28" s="481" t="str">
        <f>IF('Worksheet (2)'!P27&gt;0,'Worksheet (2)'!P27," ")</f>
        <v xml:space="preserve"> </v>
      </c>
      <c r="R28" s="481" t="str">
        <f>IF('Worksheet (2)'!Q27&gt;0,'Worksheet (2)'!Q27," ")</f>
        <v xml:space="preserve"> </v>
      </c>
    </row>
    <row r="29" spans="1:18" ht="12.75" customHeight="1" x14ac:dyDescent="0.25">
      <c r="A29" s="354" t="s">
        <v>43</v>
      </c>
      <c r="B29" s="449" t="str">
        <f>HLOOKUP($P$5,'Data Sheet'!$B$2:$CM$27,14,FALSE)</f>
        <v>P2-RS13</v>
      </c>
      <c r="C29" s="481" t="str">
        <f>IF('Worksheet (2)'!C28&gt;0,'Worksheet (2)'!C28," ")</f>
        <v xml:space="preserve"> </v>
      </c>
      <c r="D29" s="484"/>
      <c r="E29" s="483" t="str">
        <f>'Worksheet (2)'!E28</f>
        <v>Tube 1.5</v>
      </c>
      <c r="F29" s="504" t="str">
        <f>IF('Worksheet (2)'!F28&gt;0,'Worksheet (2)'!F28," ")</f>
        <v xml:space="preserve"> </v>
      </c>
      <c r="G29" s="484" t="s">
        <v>4</v>
      </c>
      <c r="H29" s="518" t="str">
        <f>IF('Worksheet (2)'!H28&gt;0,'Worksheet (2)'!H28," ")</f>
        <v xml:space="preserve"> </v>
      </c>
      <c r="I29" s="481" t="str">
        <f>IF('Worksheet (2)'!I28&gt;0,'Worksheet (2)'!I28," ")</f>
        <v xml:space="preserve"> </v>
      </c>
      <c r="J29" s="481" t="str">
        <f>IF('Worksheet (2)'!J28&gt;0,'Worksheet (2)'!J28," ")</f>
        <v xml:space="preserve"> </v>
      </c>
      <c r="K29" s="481" t="str">
        <f>IF('Worksheet (2)'!K28&gt;0,'Worksheet (2)'!K28," ")</f>
        <v xml:space="preserve"> </v>
      </c>
      <c r="L29" s="481" t="str">
        <f>IF('Worksheet (2)'!L28&gt;0,'Worksheet (2)'!L28," ")</f>
        <v xml:space="preserve"> </v>
      </c>
      <c r="M29" s="481" t="str">
        <f>IF('Worksheet (2)'!M28&gt;0,'Worksheet (2)'!M28," ")</f>
        <v xml:space="preserve"> </v>
      </c>
      <c r="O29" s="481" t="str">
        <f>IF('Worksheet (2)'!N28&gt;0,'Worksheet (2)'!N28," ")</f>
        <v xml:space="preserve"> </v>
      </c>
      <c r="P29" s="481" t="str">
        <f>IF('Worksheet (2)'!O28&gt;0,'Worksheet (2)'!O28," ")</f>
        <v xml:space="preserve"> </v>
      </c>
      <c r="Q29" s="481" t="str">
        <f>IF('Worksheet (2)'!P28&gt;0,'Worksheet (2)'!P28," ")</f>
        <v xml:space="preserve"> </v>
      </c>
      <c r="R29" s="481" t="str">
        <f>IF('Worksheet (2)'!Q28&gt;0,'Worksheet (2)'!Q28," ")</f>
        <v xml:space="preserve"> </v>
      </c>
    </row>
    <row r="30" spans="1:18" ht="12.75" customHeight="1" x14ac:dyDescent="0.25">
      <c r="A30" s="354" t="s">
        <v>44</v>
      </c>
      <c r="B30" s="449" t="str">
        <f>HLOOKUP($P$5,'Data Sheet'!$B$2:$CM$27,15,FALSE)</f>
        <v>P2-RS14</v>
      </c>
      <c r="C30" s="481" t="str">
        <f>IF('Worksheet (2)'!C29&gt;0,'Worksheet (2)'!C29," ")</f>
        <v xml:space="preserve"> </v>
      </c>
      <c r="D30" s="484"/>
      <c r="E30" s="483" t="str">
        <f>'Worksheet (2)'!E29</f>
        <v>Tube 1.5</v>
      </c>
      <c r="F30" s="504" t="str">
        <f>IF('Worksheet (2)'!F29&gt;0,'Worksheet (2)'!F29," ")</f>
        <v xml:space="preserve"> </v>
      </c>
      <c r="G30" s="484" t="s">
        <v>4</v>
      </c>
      <c r="H30" s="518" t="str">
        <f>IF('Worksheet (2)'!H29&gt;0,'Worksheet (2)'!H29," ")</f>
        <v xml:space="preserve"> </v>
      </c>
      <c r="I30" s="481" t="str">
        <f>IF('Worksheet (2)'!I29&gt;0,'Worksheet (2)'!I29," ")</f>
        <v xml:space="preserve"> </v>
      </c>
      <c r="J30" s="481" t="str">
        <f>IF('Worksheet (2)'!J29&gt;0,'Worksheet (2)'!J29," ")</f>
        <v xml:space="preserve"> </v>
      </c>
      <c r="K30" s="481" t="str">
        <f>IF('Worksheet (2)'!K29&gt;0,'Worksheet (2)'!K29," ")</f>
        <v xml:space="preserve"> </v>
      </c>
      <c r="L30" s="481" t="str">
        <f>IF('Worksheet (2)'!L29&gt;0,'Worksheet (2)'!L29," ")</f>
        <v xml:space="preserve"> </v>
      </c>
      <c r="M30" s="481" t="str">
        <f>IF('Worksheet (2)'!M29&gt;0,'Worksheet (2)'!M29," ")</f>
        <v xml:space="preserve"> </v>
      </c>
      <c r="O30" s="481" t="str">
        <f>IF('Worksheet (2)'!N29&gt;0,'Worksheet (2)'!N29," ")</f>
        <v xml:space="preserve"> </v>
      </c>
      <c r="P30" s="481" t="str">
        <f>IF('Worksheet (2)'!O29&gt;0,'Worksheet (2)'!O29," ")</f>
        <v xml:space="preserve"> </v>
      </c>
      <c r="Q30" s="481" t="str">
        <f>IF('Worksheet (2)'!P29&gt;0,'Worksheet (2)'!P29," ")</f>
        <v xml:space="preserve"> </v>
      </c>
      <c r="R30" s="481" t="str">
        <f>IF('Worksheet (2)'!Q29&gt;0,'Worksheet (2)'!Q29," ")</f>
        <v xml:space="preserve"> </v>
      </c>
    </row>
    <row r="31" spans="1:18" ht="12.75" customHeight="1" x14ac:dyDescent="0.25">
      <c r="A31" s="354" t="s">
        <v>45</v>
      </c>
      <c r="B31" s="449" t="str">
        <f>HLOOKUP($P$5,'Data Sheet'!$B$2:$CM$27,16,FALSE)</f>
        <v>P2-RS15</v>
      </c>
      <c r="C31" s="481" t="str">
        <f>IF('Worksheet (2)'!C30&gt;0,'Worksheet (2)'!C30," ")</f>
        <v xml:space="preserve"> </v>
      </c>
      <c r="D31" s="484"/>
      <c r="E31" s="483" t="str">
        <f>'Worksheet (2)'!E30</f>
        <v>Tube 1.5</v>
      </c>
      <c r="F31" s="504" t="str">
        <f>IF('Worksheet (2)'!F30&gt;0,'Worksheet (2)'!F30," ")</f>
        <v xml:space="preserve"> </v>
      </c>
      <c r="G31" s="484" t="s">
        <v>4</v>
      </c>
      <c r="H31" s="518" t="str">
        <f>IF('Worksheet (2)'!H30&gt;0,'Worksheet (2)'!H30," ")</f>
        <v xml:space="preserve"> </v>
      </c>
      <c r="I31" s="481" t="str">
        <f>IF('Worksheet (2)'!I30&gt;0,'Worksheet (2)'!I30," ")</f>
        <v xml:space="preserve"> </v>
      </c>
      <c r="J31" s="481" t="str">
        <f>IF('Worksheet (2)'!J30&gt;0,'Worksheet (2)'!J30," ")</f>
        <v xml:space="preserve"> </v>
      </c>
      <c r="K31" s="481" t="str">
        <f>IF('Worksheet (2)'!K30&gt;0,'Worksheet (2)'!K30," ")</f>
        <v xml:space="preserve"> </v>
      </c>
      <c r="L31" s="481" t="str">
        <f>IF('Worksheet (2)'!L30&gt;0,'Worksheet (2)'!L30," ")</f>
        <v xml:space="preserve"> </v>
      </c>
      <c r="M31" s="481" t="str">
        <f>IF('Worksheet (2)'!M30&gt;0,'Worksheet (2)'!M30," ")</f>
        <v xml:space="preserve"> </v>
      </c>
      <c r="O31" s="481" t="str">
        <f>IF('Worksheet (2)'!N30&gt;0,'Worksheet (2)'!N30," ")</f>
        <v xml:space="preserve"> </v>
      </c>
      <c r="P31" s="481" t="str">
        <f>IF('Worksheet (2)'!O30&gt;0,'Worksheet (2)'!O30," ")</f>
        <v xml:space="preserve"> </v>
      </c>
      <c r="Q31" s="481" t="str">
        <f>IF('Worksheet (2)'!P30&gt;0,'Worksheet (2)'!P30," ")</f>
        <v xml:space="preserve"> </v>
      </c>
      <c r="R31" s="481" t="str">
        <f>IF('Worksheet (2)'!Q30&gt;0,'Worksheet (2)'!Q30," ")</f>
        <v xml:space="preserve"> </v>
      </c>
    </row>
    <row r="32" spans="1:18" ht="12.75" customHeight="1" x14ac:dyDescent="0.25">
      <c r="A32" s="354" t="s">
        <v>46</v>
      </c>
      <c r="B32" s="449" t="str">
        <f>HLOOKUP($P$5,'Data Sheet'!$B$2:$CM$27,17,FALSE)</f>
        <v>P2-RS16</v>
      </c>
      <c r="C32" s="481" t="str">
        <f>IF('Worksheet (2)'!C31&gt;0,'Worksheet (2)'!C31," ")</f>
        <v xml:space="preserve"> </v>
      </c>
      <c r="D32" s="484"/>
      <c r="E32" s="483" t="str">
        <f>'Worksheet (2)'!E31</f>
        <v>Tube 1.5</v>
      </c>
      <c r="F32" s="504" t="str">
        <f>IF('Worksheet (2)'!F31&gt;0,'Worksheet (2)'!F31," ")</f>
        <v xml:space="preserve"> </v>
      </c>
      <c r="G32" s="484" t="s">
        <v>4</v>
      </c>
      <c r="H32" s="518" t="str">
        <f>IF('Worksheet (2)'!H31&gt;0,'Worksheet (2)'!H31," ")</f>
        <v xml:space="preserve"> </v>
      </c>
      <c r="I32" s="481" t="str">
        <f>IF('Worksheet (2)'!I31&gt;0,'Worksheet (2)'!I31," ")</f>
        <v xml:space="preserve"> </v>
      </c>
      <c r="J32" s="481" t="str">
        <f>IF('Worksheet (2)'!J31&gt;0,'Worksheet (2)'!J31," ")</f>
        <v xml:space="preserve"> </v>
      </c>
      <c r="K32" s="481" t="str">
        <f>IF('Worksheet (2)'!K31&gt;0,'Worksheet (2)'!K31," ")</f>
        <v xml:space="preserve"> </v>
      </c>
      <c r="L32" s="481" t="str">
        <f>IF('Worksheet (2)'!L31&gt;0,'Worksheet (2)'!L31," ")</f>
        <v xml:space="preserve"> </v>
      </c>
      <c r="M32" s="481" t="str">
        <f>IF('Worksheet (2)'!M31&gt;0,'Worksheet (2)'!M31," ")</f>
        <v xml:space="preserve"> </v>
      </c>
      <c r="O32" s="481" t="str">
        <f>IF('Worksheet (2)'!N31&gt;0,'Worksheet (2)'!N31," ")</f>
        <v xml:space="preserve"> </v>
      </c>
      <c r="P32" s="481" t="str">
        <f>IF('Worksheet (2)'!O31&gt;0,'Worksheet (2)'!O31," ")</f>
        <v xml:space="preserve"> </v>
      </c>
      <c r="Q32" s="481" t="str">
        <f>IF('Worksheet (2)'!P31&gt;0,'Worksheet (2)'!P31," ")</f>
        <v xml:space="preserve"> </v>
      </c>
      <c r="R32" s="481" t="str">
        <f>IF('Worksheet (2)'!Q31&gt;0,'Worksheet (2)'!Q31," ")</f>
        <v xml:space="preserve"> </v>
      </c>
    </row>
    <row r="33" spans="1:18" ht="12.75" customHeight="1" x14ac:dyDescent="0.25">
      <c r="A33" s="354" t="s">
        <v>47</v>
      </c>
      <c r="B33" s="449" t="str">
        <f>HLOOKUP($P$5,'Data Sheet'!$B$2:$CM$27,18,FALSE)</f>
        <v>P2-RS17</v>
      </c>
      <c r="C33" s="481" t="str">
        <f>IF('Worksheet (2)'!C32&gt;0,'Worksheet (2)'!C32," ")</f>
        <v xml:space="preserve"> </v>
      </c>
      <c r="D33" s="484"/>
      <c r="E33" s="483" t="str">
        <f>'Worksheet (2)'!E32</f>
        <v>Tube 1.5</v>
      </c>
      <c r="F33" s="504" t="str">
        <f>IF('Worksheet (2)'!F32&gt;0,'Worksheet (2)'!F32," ")</f>
        <v xml:space="preserve"> </v>
      </c>
      <c r="G33" s="484" t="s">
        <v>4</v>
      </c>
      <c r="H33" s="518" t="str">
        <f>IF('Worksheet (2)'!H32&gt;0,'Worksheet (2)'!H32," ")</f>
        <v xml:space="preserve"> </v>
      </c>
      <c r="I33" s="481" t="str">
        <f>IF('Worksheet (2)'!I32&gt;0,'Worksheet (2)'!I32," ")</f>
        <v xml:space="preserve"> </v>
      </c>
      <c r="J33" s="481" t="str">
        <f>IF('Worksheet (2)'!J32&gt;0,'Worksheet (2)'!J32," ")</f>
        <v xml:space="preserve"> </v>
      </c>
      <c r="K33" s="481" t="str">
        <f>IF('Worksheet (2)'!K32&gt;0,'Worksheet (2)'!K32," ")</f>
        <v xml:space="preserve"> </v>
      </c>
      <c r="L33" s="481" t="str">
        <f>IF('Worksheet (2)'!L32&gt;0,'Worksheet (2)'!L32," ")</f>
        <v xml:space="preserve"> </v>
      </c>
      <c r="M33" s="481" t="str">
        <f>IF('Worksheet (2)'!M32&gt;0,'Worksheet (2)'!M32," ")</f>
        <v xml:space="preserve"> </v>
      </c>
      <c r="O33" s="481" t="str">
        <f>IF('Worksheet (2)'!N32&gt;0,'Worksheet (2)'!N32," ")</f>
        <v xml:space="preserve"> </v>
      </c>
      <c r="P33" s="481" t="str">
        <f>IF('Worksheet (2)'!O32&gt;0,'Worksheet (2)'!O32," ")</f>
        <v xml:space="preserve"> </v>
      </c>
      <c r="Q33" s="481" t="str">
        <f>IF('Worksheet (2)'!P32&gt;0,'Worksheet (2)'!P32," ")</f>
        <v xml:space="preserve"> </v>
      </c>
      <c r="R33" s="481" t="str">
        <f>IF('Worksheet (2)'!Q32&gt;0,'Worksheet (2)'!Q32," ")</f>
        <v xml:space="preserve"> </v>
      </c>
    </row>
    <row r="34" spans="1:18" ht="12.75" customHeight="1" x14ac:dyDescent="0.25">
      <c r="A34" s="354" t="s">
        <v>48</v>
      </c>
      <c r="B34" s="449" t="str">
        <f>HLOOKUP($P$5,'Data Sheet'!$B$2:$CM$27,19,FALSE)</f>
        <v>P2-RS18</v>
      </c>
      <c r="C34" s="481" t="str">
        <f>IF('Worksheet (2)'!C33&gt;0,'Worksheet (2)'!C33," ")</f>
        <v xml:space="preserve"> </v>
      </c>
      <c r="D34" s="484"/>
      <c r="E34" s="483" t="str">
        <f>'Worksheet (2)'!E33</f>
        <v>Tube 1.5</v>
      </c>
      <c r="F34" s="504" t="str">
        <f>IF('Worksheet (2)'!F33&gt;0,'Worksheet (2)'!F33," ")</f>
        <v xml:space="preserve"> </v>
      </c>
      <c r="G34" s="484" t="s">
        <v>4</v>
      </c>
      <c r="H34" s="518" t="str">
        <f>IF('Worksheet (2)'!H33&gt;0,'Worksheet (2)'!H33," ")</f>
        <v xml:space="preserve"> </v>
      </c>
      <c r="I34" s="481" t="str">
        <f>IF('Worksheet (2)'!I33&gt;0,'Worksheet (2)'!I33," ")</f>
        <v xml:space="preserve"> </v>
      </c>
      <c r="J34" s="481" t="str">
        <f>IF('Worksheet (2)'!J33&gt;0,'Worksheet (2)'!J33," ")</f>
        <v xml:space="preserve"> </v>
      </c>
      <c r="K34" s="481" t="str">
        <f>IF('Worksheet (2)'!K33&gt;0,'Worksheet (2)'!K33," ")</f>
        <v xml:space="preserve"> </v>
      </c>
      <c r="L34" s="481" t="str">
        <f>IF('Worksheet (2)'!L33&gt;0,'Worksheet (2)'!L33," ")</f>
        <v xml:space="preserve"> </v>
      </c>
      <c r="M34" s="481" t="str">
        <f>IF('Worksheet (2)'!M33&gt;0,'Worksheet (2)'!M33," ")</f>
        <v xml:space="preserve"> </v>
      </c>
      <c r="O34" s="481" t="str">
        <f>IF('Worksheet (2)'!N33&gt;0,'Worksheet (2)'!N33," ")</f>
        <v xml:space="preserve"> </v>
      </c>
      <c r="P34" s="481" t="str">
        <f>IF('Worksheet (2)'!O33&gt;0,'Worksheet (2)'!O33," ")</f>
        <v xml:space="preserve"> </v>
      </c>
      <c r="Q34" s="481" t="str">
        <f>IF('Worksheet (2)'!P33&gt;0,'Worksheet (2)'!P33," ")</f>
        <v xml:space="preserve"> </v>
      </c>
      <c r="R34" s="481" t="str">
        <f>IF('Worksheet (2)'!Q33&gt;0,'Worksheet (2)'!Q33," ")</f>
        <v xml:space="preserve"> </v>
      </c>
    </row>
    <row r="35" spans="1:18" ht="12.75" customHeight="1" x14ac:dyDescent="0.25">
      <c r="A35" s="354" t="s">
        <v>49</v>
      </c>
      <c r="B35" s="449" t="str">
        <f>HLOOKUP($P$5,'Data Sheet'!$B$2:$CM$27,20,FALSE)</f>
        <v>P2-RS19</v>
      </c>
      <c r="C35" s="481" t="str">
        <f>IF('Worksheet (2)'!C34&gt;0,'Worksheet (2)'!C34," ")</f>
        <v xml:space="preserve"> </v>
      </c>
      <c r="D35" s="484"/>
      <c r="E35" s="483" t="str">
        <f>'Worksheet (2)'!E34</f>
        <v>Tube 1.5</v>
      </c>
      <c r="F35" s="504" t="str">
        <f>IF('Worksheet (2)'!F34&gt;0,'Worksheet (2)'!F34," ")</f>
        <v xml:space="preserve"> </v>
      </c>
      <c r="G35" s="484" t="s">
        <v>4</v>
      </c>
      <c r="H35" s="518" t="str">
        <f>IF('Worksheet (2)'!H34&gt;0,'Worksheet (2)'!H34," ")</f>
        <v xml:space="preserve"> </v>
      </c>
      <c r="I35" s="481" t="str">
        <f>IF('Worksheet (2)'!I34&gt;0,'Worksheet (2)'!I34," ")</f>
        <v xml:space="preserve"> </v>
      </c>
      <c r="J35" s="481" t="str">
        <f>IF('Worksheet (2)'!J34&gt;0,'Worksheet (2)'!J34," ")</f>
        <v xml:space="preserve"> </v>
      </c>
      <c r="K35" s="481" t="str">
        <f>IF('Worksheet (2)'!K34&gt;0,'Worksheet (2)'!K34," ")</f>
        <v xml:space="preserve"> </v>
      </c>
      <c r="L35" s="481" t="str">
        <f>IF('Worksheet (2)'!L34&gt;0,'Worksheet (2)'!L34," ")</f>
        <v xml:space="preserve"> </v>
      </c>
      <c r="M35" s="481" t="str">
        <f>IF('Worksheet (2)'!M34&gt;0,'Worksheet (2)'!M34," ")</f>
        <v xml:space="preserve"> </v>
      </c>
      <c r="O35" s="481" t="str">
        <f>IF('Worksheet (2)'!N34&gt;0,'Worksheet (2)'!N34," ")</f>
        <v xml:space="preserve"> </v>
      </c>
      <c r="P35" s="481" t="str">
        <f>IF('Worksheet (2)'!O34&gt;0,'Worksheet (2)'!O34," ")</f>
        <v xml:space="preserve"> </v>
      </c>
      <c r="Q35" s="481" t="str">
        <f>IF('Worksheet (2)'!P34&gt;0,'Worksheet (2)'!P34," ")</f>
        <v xml:space="preserve"> </v>
      </c>
      <c r="R35" s="481" t="str">
        <f>IF('Worksheet (2)'!Q34&gt;0,'Worksheet (2)'!Q34," ")</f>
        <v xml:space="preserve"> </v>
      </c>
    </row>
    <row r="36" spans="1:18" ht="12.75" customHeight="1" x14ac:dyDescent="0.25">
      <c r="A36" s="354" t="s">
        <v>50</v>
      </c>
      <c r="B36" s="449" t="str">
        <f>HLOOKUP($P$5,'Data Sheet'!$B$2:$CM$27,21,FALSE)</f>
        <v>P2-RS20</v>
      </c>
      <c r="C36" s="481" t="str">
        <f>IF('Worksheet (2)'!C35&gt;0,'Worksheet (2)'!C35," ")</f>
        <v xml:space="preserve"> </v>
      </c>
      <c r="D36" s="484"/>
      <c r="E36" s="483" t="str">
        <f>'Worksheet (2)'!E35</f>
        <v>Tube 1.5</v>
      </c>
      <c r="F36" s="504" t="str">
        <f>IF('Worksheet (2)'!F35&gt;0,'Worksheet (2)'!F35," ")</f>
        <v xml:space="preserve"> </v>
      </c>
      <c r="G36" s="484" t="s">
        <v>4</v>
      </c>
      <c r="H36" s="518" t="str">
        <f>IF('Worksheet (2)'!H35&gt;0,'Worksheet (2)'!H35," ")</f>
        <v xml:space="preserve"> </v>
      </c>
      <c r="I36" s="481" t="str">
        <f>IF('Worksheet (2)'!I35&gt;0,'Worksheet (2)'!I35," ")</f>
        <v xml:space="preserve"> </v>
      </c>
      <c r="J36" s="481" t="str">
        <f>IF('Worksheet (2)'!J35&gt;0,'Worksheet (2)'!J35," ")</f>
        <v xml:space="preserve"> </v>
      </c>
      <c r="K36" s="481" t="str">
        <f>IF('Worksheet (2)'!K35&gt;0,'Worksheet (2)'!K35," ")</f>
        <v xml:space="preserve"> </v>
      </c>
      <c r="L36" s="481" t="str">
        <f>IF('Worksheet (2)'!L35&gt;0,'Worksheet (2)'!L35," ")</f>
        <v xml:space="preserve"> </v>
      </c>
      <c r="M36" s="481" t="str">
        <f>IF('Worksheet (2)'!M35&gt;0,'Worksheet (2)'!M35," ")</f>
        <v xml:space="preserve"> </v>
      </c>
      <c r="O36" s="481" t="str">
        <f>IF('Worksheet (2)'!N35&gt;0,'Worksheet (2)'!N35," ")</f>
        <v xml:space="preserve"> </v>
      </c>
      <c r="P36" s="481" t="str">
        <f>IF('Worksheet (2)'!O35&gt;0,'Worksheet (2)'!O35," ")</f>
        <v xml:space="preserve"> </v>
      </c>
      <c r="Q36" s="481" t="str">
        <f>IF('Worksheet (2)'!P35&gt;0,'Worksheet (2)'!P35," ")</f>
        <v xml:space="preserve"> </v>
      </c>
      <c r="R36" s="481" t="str">
        <f>IF('Worksheet (2)'!Q35&gt;0,'Worksheet (2)'!Q35," ")</f>
        <v xml:space="preserve"> </v>
      </c>
    </row>
    <row r="37" spans="1:18" ht="12.75" customHeight="1" x14ac:dyDescent="0.25">
      <c r="A37" s="354" t="s">
        <v>182</v>
      </c>
      <c r="B37" s="449" t="str">
        <f>HLOOKUP($P$5,'Data Sheet'!$B$2:$CM$27,22,FALSE)</f>
        <v>P2-RS21</v>
      </c>
      <c r="C37" s="481" t="str">
        <f>IF('Worksheet (2)'!C36&gt;0,'Worksheet (2)'!C36," ")</f>
        <v xml:space="preserve"> </v>
      </c>
      <c r="D37" s="484"/>
      <c r="E37" s="483" t="str">
        <f>'Worksheet (2)'!E36</f>
        <v>Tube 1.5</v>
      </c>
      <c r="F37" s="504" t="str">
        <f>IF('Worksheet (2)'!F36&gt;0,'Worksheet (2)'!F36," ")</f>
        <v xml:space="preserve"> </v>
      </c>
      <c r="G37" s="484" t="s">
        <v>4</v>
      </c>
      <c r="H37" s="518" t="str">
        <f>IF('Worksheet (2)'!H36&gt;0,'Worksheet (2)'!H36," ")</f>
        <v xml:space="preserve"> </v>
      </c>
      <c r="I37" s="481" t="str">
        <f>IF('Worksheet (2)'!I36&gt;0,'Worksheet (2)'!I36," ")</f>
        <v xml:space="preserve"> </v>
      </c>
      <c r="J37" s="481" t="str">
        <f>IF('Worksheet (2)'!J36&gt;0,'Worksheet (2)'!J36," ")</f>
        <v xml:space="preserve"> </v>
      </c>
      <c r="K37" s="481" t="str">
        <f>IF('Worksheet (2)'!K36&gt;0,'Worksheet (2)'!K36," ")</f>
        <v xml:space="preserve"> </v>
      </c>
      <c r="L37" s="481" t="str">
        <f>IF('Worksheet (2)'!L36&gt;0,'Worksheet (2)'!L36," ")</f>
        <v xml:space="preserve"> </v>
      </c>
      <c r="M37" s="481" t="str">
        <f>IF('Worksheet (2)'!M36&gt;0,'Worksheet (2)'!M36," ")</f>
        <v xml:space="preserve"> </v>
      </c>
      <c r="O37" s="481" t="str">
        <f>IF('Worksheet (2)'!N36&gt;0,'Worksheet (2)'!N36," ")</f>
        <v xml:space="preserve"> </v>
      </c>
      <c r="P37" s="481" t="str">
        <f>IF('Worksheet (2)'!O36&gt;0,'Worksheet (2)'!O36," ")</f>
        <v xml:space="preserve"> </v>
      </c>
      <c r="Q37" s="481" t="str">
        <f>IF('Worksheet (2)'!P36&gt;0,'Worksheet (2)'!P36," ")</f>
        <v xml:space="preserve"> </v>
      </c>
      <c r="R37" s="481" t="str">
        <f>IF('Worksheet (2)'!Q36&gt;0,'Worksheet (2)'!Q36," ")</f>
        <v xml:space="preserve"> </v>
      </c>
    </row>
    <row r="38" spans="1:18" ht="12.75" customHeight="1" x14ac:dyDescent="0.25">
      <c r="A38" s="354" t="s">
        <v>183</v>
      </c>
      <c r="B38" s="449" t="str">
        <f>HLOOKUP($P$5,'Data Sheet'!$B$2:$CM$27,23,FALSE)</f>
        <v>P2-RS22</v>
      </c>
      <c r="C38" s="481" t="str">
        <f>IF('Worksheet (2)'!C37&gt;0,'Worksheet (2)'!C37," ")</f>
        <v xml:space="preserve"> </v>
      </c>
      <c r="D38" s="484"/>
      <c r="E38" s="483" t="str">
        <f>'Worksheet (2)'!E37</f>
        <v>Tube 1.5</v>
      </c>
      <c r="F38" s="504" t="str">
        <f>IF('Worksheet (2)'!F37&gt;0,'Worksheet (2)'!F37," ")</f>
        <v xml:space="preserve"> </v>
      </c>
      <c r="G38" s="484" t="s">
        <v>4</v>
      </c>
      <c r="H38" s="518" t="str">
        <f>IF('Worksheet (2)'!H37&gt;0,'Worksheet (2)'!H37," ")</f>
        <v xml:space="preserve"> </v>
      </c>
      <c r="I38" s="481" t="str">
        <f>IF('Worksheet (2)'!I37&gt;0,'Worksheet (2)'!I37," ")</f>
        <v xml:space="preserve"> </v>
      </c>
      <c r="J38" s="481" t="str">
        <f>IF('Worksheet (2)'!J37&gt;0,'Worksheet (2)'!J37," ")</f>
        <v xml:space="preserve"> </v>
      </c>
      <c r="K38" s="481" t="str">
        <f>IF('Worksheet (2)'!K37&gt;0,'Worksheet (2)'!K37," ")</f>
        <v xml:space="preserve"> </v>
      </c>
      <c r="L38" s="481" t="str">
        <f>IF('Worksheet (2)'!L37&gt;0,'Worksheet (2)'!L37," ")</f>
        <v xml:space="preserve"> </v>
      </c>
      <c r="M38" s="481" t="str">
        <f>IF('Worksheet (2)'!M37&gt;0,'Worksheet (2)'!M37," ")</f>
        <v xml:space="preserve"> </v>
      </c>
      <c r="O38" s="481" t="str">
        <f>IF('Worksheet (2)'!N37&gt;0,'Worksheet (2)'!N37," ")</f>
        <v xml:space="preserve"> </v>
      </c>
      <c r="P38" s="481" t="str">
        <f>IF('Worksheet (2)'!O37&gt;0,'Worksheet (2)'!O37," ")</f>
        <v xml:space="preserve"> </v>
      </c>
      <c r="Q38" s="481" t="str">
        <f>IF('Worksheet (2)'!P37&gt;0,'Worksheet (2)'!P37," ")</f>
        <v xml:space="preserve"> </v>
      </c>
      <c r="R38" s="481" t="str">
        <f>IF('Worksheet (2)'!Q37&gt;0,'Worksheet (2)'!Q37," ")</f>
        <v xml:space="preserve"> </v>
      </c>
    </row>
    <row r="39" spans="1:18" ht="12.75" customHeight="1" x14ac:dyDescent="0.25">
      <c r="A39" s="354" t="s">
        <v>184</v>
      </c>
      <c r="B39" s="449" t="str">
        <f>HLOOKUP($P$5,'Data Sheet'!$B$2:$CM$27,24,FALSE)</f>
        <v>P2-RS23</v>
      </c>
      <c r="C39" s="481" t="str">
        <f>IF('Worksheet (2)'!C38&gt;0,'Worksheet (2)'!C38," ")</f>
        <v xml:space="preserve"> </v>
      </c>
      <c r="D39" s="484"/>
      <c r="E39" s="483" t="str">
        <f>'Worksheet (2)'!E38</f>
        <v>Tube 1.5</v>
      </c>
      <c r="F39" s="504" t="str">
        <f>IF('Worksheet (2)'!F38&gt;0,'Worksheet (2)'!F38," ")</f>
        <v xml:space="preserve"> </v>
      </c>
      <c r="G39" s="484" t="s">
        <v>4</v>
      </c>
      <c r="H39" s="518" t="str">
        <f>IF('Worksheet (2)'!H38&gt;0,'Worksheet (2)'!H38," ")</f>
        <v xml:space="preserve"> </v>
      </c>
      <c r="I39" s="481" t="str">
        <f>IF('Worksheet (2)'!I38&gt;0,'Worksheet (2)'!I38," ")</f>
        <v xml:space="preserve"> </v>
      </c>
      <c r="J39" s="481" t="str">
        <f>IF('Worksheet (2)'!J38&gt;0,'Worksheet (2)'!J38," ")</f>
        <v xml:space="preserve"> </v>
      </c>
      <c r="K39" s="481" t="str">
        <f>IF('Worksheet (2)'!K38&gt;0,'Worksheet (2)'!K38," ")</f>
        <v xml:space="preserve"> </v>
      </c>
      <c r="L39" s="481" t="str">
        <f>IF('Worksheet (2)'!L38&gt;0,'Worksheet (2)'!L38," ")</f>
        <v xml:space="preserve"> </v>
      </c>
      <c r="M39" s="481" t="str">
        <f>IF('Worksheet (2)'!M38&gt;0,'Worksheet (2)'!M38," ")</f>
        <v xml:space="preserve"> </v>
      </c>
      <c r="O39" s="481" t="str">
        <f>IF('Worksheet (2)'!N38&gt;0,'Worksheet (2)'!N38," ")</f>
        <v xml:space="preserve"> </v>
      </c>
      <c r="P39" s="481" t="str">
        <f>IF('Worksheet (2)'!O38&gt;0,'Worksheet (2)'!O38," ")</f>
        <v xml:space="preserve"> </v>
      </c>
      <c r="Q39" s="481" t="str">
        <f>IF('Worksheet (2)'!P38&gt;0,'Worksheet (2)'!P38," ")</f>
        <v xml:space="preserve"> </v>
      </c>
      <c r="R39" s="481" t="str">
        <f>IF('Worksheet (2)'!Q38&gt;0,'Worksheet (2)'!Q38," ")</f>
        <v xml:space="preserve"> </v>
      </c>
    </row>
    <row r="40" spans="1:18" ht="12.75" customHeight="1" x14ac:dyDescent="0.25">
      <c r="A40" s="354" t="s">
        <v>185</v>
      </c>
      <c r="B40" s="449" t="str">
        <f>HLOOKUP($P$5,'Data Sheet'!$B$2:$CM$27,25,FALSE)</f>
        <v>P2-RS24</v>
      </c>
      <c r="C40" s="481" t="str">
        <f>IF('Worksheet (2)'!C39&gt;0,'Worksheet (2)'!C39," ")</f>
        <v xml:space="preserve"> </v>
      </c>
      <c r="D40" s="484"/>
      <c r="E40" s="483" t="str">
        <f>'Worksheet (2)'!E39</f>
        <v>Tube 1.5</v>
      </c>
      <c r="F40" s="504" t="str">
        <f>IF('Worksheet (2)'!F39&gt;0,'Worksheet (2)'!F39," ")</f>
        <v xml:space="preserve"> </v>
      </c>
      <c r="G40" s="484" t="s">
        <v>4</v>
      </c>
      <c r="H40" s="518" t="str">
        <f>IF('Worksheet (2)'!H39&gt;0,'Worksheet (2)'!H39," ")</f>
        <v xml:space="preserve"> </v>
      </c>
      <c r="I40" s="481" t="str">
        <f>IF('Worksheet (2)'!I39&gt;0,'Worksheet (2)'!I39," ")</f>
        <v xml:space="preserve"> </v>
      </c>
      <c r="J40" s="481" t="str">
        <f>IF('Worksheet (2)'!J39&gt;0,'Worksheet (2)'!J39," ")</f>
        <v xml:space="preserve"> </v>
      </c>
      <c r="K40" s="481" t="str">
        <f>IF('Worksheet (2)'!K39&gt;0,'Worksheet (2)'!K39," ")</f>
        <v xml:space="preserve"> </v>
      </c>
      <c r="L40" s="481" t="str">
        <f>IF('Worksheet (2)'!L39&gt;0,'Worksheet (2)'!L39," ")</f>
        <v xml:space="preserve"> </v>
      </c>
      <c r="M40" s="481" t="str">
        <f>IF('Worksheet (2)'!M39&gt;0,'Worksheet (2)'!M39," ")</f>
        <v xml:space="preserve"> </v>
      </c>
      <c r="O40" s="481" t="str">
        <f>IF('Worksheet (2)'!N39&gt;0,'Worksheet (2)'!N39," ")</f>
        <v xml:space="preserve"> </v>
      </c>
      <c r="P40" s="481" t="str">
        <f>IF('Worksheet (2)'!O39&gt;0,'Worksheet (2)'!O39," ")</f>
        <v xml:space="preserve"> </v>
      </c>
      <c r="Q40" s="481" t="str">
        <f>IF('Worksheet (2)'!P39&gt;0,'Worksheet (2)'!P39," ")</f>
        <v xml:space="preserve"> </v>
      </c>
      <c r="R40" s="481" t="str">
        <f>IF('Worksheet (2)'!Q39&gt;0,'Worksheet (2)'!Q39," ")</f>
        <v xml:space="preserve"> </v>
      </c>
    </row>
    <row r="41" spans="1:18" ht="12.75" customHeight="1" x14ac:dyDescent="0.25">
      <c r="A41" s="354" t="s">
        <v>186</v>
      </c>
      <c r="B41" s="449" t="str">
        <f>HLOOKUP($P$5,'Data Sheet'!$B$2:$CM$27,26,FALSE)</f>
        <v>P2-RS25</v>
      </c>
      <c r="C41" s="481" t="str">
        <f>IF('Worksheet (2)'!C40&gt;0,'Worksheet (2)'!C40," ")</f>
        <v xml:space="preserve"> </v>
      </c>
      <c r="D41" s="484"/>
      <c r="E41" s="483" t="str">
        <f>'Worksheet (2)'!E40</f>
        <v>Tube 1.5</v>
      </c>
      <c r="F41" s="504" t="str">
        <f>IF('Worksheet (2)'!F40&gt;0,'Worksheet (2)'!F40," ")</f>
        <v xml:space="preserve"> </v>
      </c>
      <c r="G41" s="484" t="s">
        <v>4</v>
      </c>
      <c r="H41" s="518" t="str">
        <f>IF('Worksheet (2)'!H40&gt;0,'Worksheet (2)'!H40," ")</f>
        <v xml:space="preserve"> </v>
      </c>
      <c r="I41" s="481" t="str">
        <f>IF('Worksheet (2)'!I40&gt;0,'Worksheet (2)'!I40," ")</f>
        <v xml:space="preserve"> </v>
      </c>
      <c r="J41" s="481" t="str">
        <f>IF('Worksheet (2)'!J40&gt;0,'Worksheet (2)'!J40," ")</f>
        <v xml:space="preserve"> </v>
      </c>
      <c r="K41" s="481" t="str">
        <f>IF('Worksheet (2)'!K40&gt;0,'Worksheet (2)'!K40," ")</f>
        <v xml:space="preserve"> </v>
      </c>
      <c r="L41" s="481" t="str">
        <f>IF('Worksheet (2)'!L40&gt;0,'Worksheet (2)'!L40," ")</f>
        <v xml:space="preserve"> </v>
      </c>
      <c r="M41" s="481" t="str">
        <f>IF('Worksheet (2)'!M40&gt;0,'Worksheet (2)'!M40," ")</f>
        <v xml:space="preserve"> </v>
      </c>
      <c r="O41" s="481" t="str">
        <f>IF('Worksheet (2)'!N40&gt;0,'Worksheet (2)'!N40," ")</f>
        <v xml:space="preserve"> </v>
      </c>
      <c r="P41" s="481" t="str">
        <f>IF('Worksheet (2)'!O40&gt;0,'Worksheet (2)'!O40," ")</f>
        <v xml:space="preserve"> </v>
      </c>
      <c r="Q41" s="481" t="str">
        <f>IF('Worksheet (2)'!P40&gt;0,'Worksheet (2)'!P40," ")</f>
        <v xml:space="preserve"> </v>
      </c>
      <c r="R41" s="481" t="str">
        <f>IF('Worksheet (2)'!Q40&gt;0,'Worksheet (2)'!Q40," ")</f>
        <v xml:space="preserve"> </v>
      </c>
    </row>
    <row r="42" spans="1:18" s="391" customFormat="1" ht="15.75" customHeight="1" thickBot="1" x14ac:dyDescent="0.3">
      <c r="B42" s="485"/>
      <c r="C42" s="610">
        <f>SUM(D17:D41)</f>
        <v>0</v>
      </c>
      <c r="D42" s="610"/>
      <c r="E42" s="391" t="s">
        <v>8</v>
      </c>
      <c r="F42" s="486"/>
      <c r="H42" s="487"/>
    </row>
    <row r="43" spans="1:18" ht="16.2" thickBot="1" x14ac:dyDescent="0.35">
      <c r="B43" s="477" t="s">
        <v>85</v>
      </c>
      <c r="C43" s="391"/>
      <c r="D43" s="488"/>
      <c r="E43" s="478"/>
      <c r="F43" s="486"/>
      <c r="G43" s="391"/>
      <c r="H43" s="478"/>
      <c r="I43" s="391"/>
      <c r="K43" s="489"/>
      <c r="L43" s="490" t="s">
        <v>204</v>
      </c>
      <c r="M43" s="491" t="str">
        <f>'Worksheet (2)'!M42</f>
        <v>Doyle</v>
      </c>
      <c r="N43" s="468"/>
      <c r="O43" s="391"/>
      <c r="P43" s="619"/>
      <c r="Q43" s="619"/>
      <c r="R43" s="619"/>
    </row>
    <row r="44" spans="1:18" ht="15" customHeight="1" x14ac:dyDescent="0.3">
      <c r="E44" s="478"/>
      <c r="P44" s="619"/>
      <c r="Q44" s="619"/>
      <c r="R44" s="619"/>
    </row>
    <row r="45" spans="1:18" ht="15" customHeight="1" x14ac:dyDescent="0.25">
      <c r="D45" s="354"/>
      <c r="F45" s="451"/>
      <c r="H45" s="354"/>
      <c r="P45" s="619"/>
      <c r="Q45" s="619"/>
      <c r="R45" s="619"/>
    </row>
    <row r="46" spans="1:18" ht="15" customHeight="1" x14ac:dyDescent="0.25">
      <c r="D46" s="494"/>
      <c r="P46" s="391"/>
      <c r="Q46" s="391"/>
      <c r="R46" s="391"/>
    </row>
    <row r="57" spans="3:22" x14ac:dyDescent="0.25">
      <c r="C57" s="449"/>
      <c r="H57" s="358"/>
      <c r="J57" s="450"/>
      <c r="L57" s="358"/>
      <c r="P57" s="358"/>
      <c r="R57" s="450"/>
      <c r="T57" s="358"/>
      <c r="V57" s="450"/>
    </row>
  </sheetData>
  <mergeCells count="13">
    <mergeCell ref="L11:M11"/>
    <mergeCell ref="Q2:R2"/>
    <mergeCell ref="B5:I7"/>
    <mergeCell ref="P7:Q7"/>
    <mergeCell ref="L9:M9"/>
    <mergeCell ref="L10:M10"/>
    <mergeCell ref="P45:R45"/>
    <mergeCell ref="D12:D16"/>
    <mergeCell ref="L12:M12"/>
    <mergeCell ref="L13:M13"/>
    <mergeCell ref="C42:D42"/>
    <mergeCell ref="P43:R43"/>
    <mergeCell ref="P44:R44"/>
  </mergeCells>
  <conditionalFormatting sqref="D18:D41">
    <cfRule type="cellIs" dxfId="2" priority="1" stopIfTrue="1" operator="greaterThan">
      <formula>1</formula>
    </cfRule>
  </conditionalFormatting>
  <conditionalFormatting sqref="E17:E41">
    <cfRule type="expression" dxfId="1" priority="2" stopIfTrue="1">
      <formula>$D17&gt;1</formula>
    </cfRule>
  </conditionalFormatting>
  <conditionalFormatting sqref="P7:Q7">
    <cfRule type="containsBlanks" dxfId="0" priority="3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FF89-D32F-424D-ADA4-64A2E19FC78A}">
  <dimension ref="B1:X30"/>
  <sheetViews>
    <sheetView showGridLines="0" view="pageBreakPreview" zoomScale="110" zoomScaleNormal="100" zoomScaleSheetLayoutView="110" zoomScalePageLayoutView="140" workbookViewId="0">
      <selection activeCell="M4" sqref="M4"/>
    </sheetView>
  </sheetViews>
  <sheetFormatPr defaultColWidth="9.109375" defaultRowHeight="13.2" x14ac:dyDescent="0.25"/>
  <cols>
    <col min="1" max="1" width="9.109375" style="86" customWidth="1"/>
    <col min="2" max="4" width="11.44140625" style="86" customWidth="1"/>
    <col min="5" max="5" width="1.5546875" style="86" customWidth="1"/>
    <col min="6" max="8" width="11.44140625" style="86" customWidth="1"/>
    <col min="9" max="9" width="1.44140625" style="86" customWidth="1"/>
    <col min="10" max="12" width="11.44140625" style="86" customWidth="1"/>
    <col min="13" max="13" width="9.109375" style="86"/>
    <col min="14" max="16" width="11.44140625" style="86" customWidth="1"/>
    <col min="17" max="17" width="1.5546875" style="86" customWidth="1"/>
    <col min="18" max="20" width="11.44140625" style="86" customWidth="1"/>
    <col min="21" max="21" width="1.44140625" style="86" customWidth="1"/>
    <col min="22" max="24" width="11.44140625" style="86" customWidth="1"/>
    <col min="25" max="16384" width="9.109375" style="86"/>
  </cols>
  <sheetData>
    <row r="1" spans="2:24" s="101" customFormat="1" ht="25.2" customHeight="1" x14ac:dyDescent="0.25">
      <c r="B1" s="100" t="str">
        <f>Worksheet!$J$5</f>
        <v>Cottonwood Creek WO#I5187109-00104</v>
      </c>
      <c r="C1" s="99"/>
      <c r="D1" s="98">
        <f>Worksheet!$AA$2</f>
        <v>33303</v>
      </c>
      <c r="E1" s="422"/>
      <c r="F1" s="100" t="str">
        <f>Worksheet!$J$5</f>
        <v>Cottonwood Creek WO#I5187109-00104</v>
      </c>
      <c r="G1" s="99"/>
      <c r="H1" s="98">
        <f>Worksheet!$AA$2</f>
        <v>33303</v>
      </c>
      <c r="I1" s="422"/>
      <c r="J1" s="100" t="str">
        <f>Worksheet!$J$5</f>
        <v>Cottonwood Creek WO#I5187109-00104</v>
      </c>
      <c r="K1" s="99"/>
      <c r="L1" s="98">
        <f>Worksheet!$AA$2</f>
        <v>33303</v>
      </c>
      <c r="N1" s="100" t="str">
        <f>Worksheet!$J$5</f>
        <v>Cottonwood Creek WO#I5187109-00104</v>
      </c>
      <c r="O1" s="99"/>
      <c r="P1" s="98">
        <f>Worksheet!$AA$2</f>
        <v>33303</v>
      </c>
      <c r="Q1" s="422"/>
      <c r="R1" s="100" t="str">
        <f>Worksheet!$J$5</f>
        <v>Cottonwood Creek WO#I5187109-00104</v>
      </c>
      <c r="S1" s="99"/>
      <c r="T1" s="98">
        <f>Worksheet!$AA$2</f>
        <v>33303</v>
      </c>
      <c r="U1" s="422"/>
      <c r="V1" s="100" t="str">
        <f>Worksheet!$J$5</f>
        <v>Cottonwood Creek WO#I5187109-00104</v>
      </c>
      <c r="W1" s="99"/>
      <c r="X1" s="98">
        <f>Worksheet!$AA$2</f>
        <v>33303</v>
      </c>
    </row>
    <row r="2" spans="2:24" s="101" customFormat="1" ht="25.2" customHeight="1" x14ac:dyDescent="0.25">
      <c r="B2" s="102"/>
      <c r="C2" s="101" t="str">
        <f>Worksheet!$C16</f>
        <v>Chapel east</v>
      </c>
      <c r="D2" s="103"/>
      <c r="E2" s="422"/>
      <c r="F2" s="102"/>
      <c r="G2" s="101" t="str">
        <f>Worksheet!$C17</f>
        <v>Chapel West</v>
      </c>
      <c r="H2" s="103"/>
      <c r="I2" s="422"/>
      <c r="J2" s="102"/>
      <c r="K2" s="101" t="str">
        <f>Worksheet!$C18</f>
        <v>Room 103</v>
      </c>
      <c r="L2" s="103"/>
      <c r="N2" s="102"/>
      <c r="O2" s="101" t="e">
        <f>#REF!</f>
        <v>#REF!</v>
      </c>
      <c r="P2" s="103"/>
      <c r="Q2" s="422"/>
      <c r="R2" s="102"/>
      <c r="S2" s="101" t="e">
        <f>#REF!</f>
        <v>#REF!</v>
      </c>
      <c r="T2" s="103"/>
      <c r="U2" s="422"/>
      <c r="V2" s="102"/>
      <c r="W2" s="101" t="e">
        <f>#REF!</f>
        <v>#REF!</v>
      </c>
      <c r="X2" s="103"/>
    </row>
    <row r="3" spans="2:24" s="101" customFormat="1" ht="25.2" customHeight="1" thickBot="1" x14ac:dyDescent="0.3">
      <c r="B3" s="97" t="s">
        <v>222</v>
      </c>
      <c r="C3" s="96"/>
      <c r="D3" s="323" t="str">
        <f>Worksheet!$B16</f>
        <v>P1-RS1</v>
      </c>
      <c r="F3" s="97" t="s">
        <v>222</v>
      </c>
      <c r="G3" s="96"/>
      <c r="H3" s="323" t="str">
        <f>Worksheet!$B17</f>
        <v>P1-RS2</v>
      </c>
      <c r="J3" s="97" t="s">
        <v>222</v>
      </c>
      <c r="K3" s="96"/>
      <c r="L3" s="323" t="str">
        <f>Worksheet!$B18</f>
        <v>P1-RS3</v>
      </c>
      <c r="N3" s="97" t="s">
        <v>222</v>
      </c>
      <c r="O3" s="96"/>
      <c r="P3" s="323" t="e">
        <f>#REF!</f>
        <v>#REF!</v>
      </c>
      <c r="R3" s="97" t="s">
        <v>222</v>
      </c>
      <c r="S3" s="96"/>
      <c r="T3" s="323" t="e">
        <f>#REF!</f>
        <v>#REF!</v>
      </c>
      <c r="V3" s="97" t="s">
        <v>222</v>
      </c>
      <c r="W3" s="96"/>
      <c r="X3" s="323" t="e">
        <f>#REF!</f>
        <v>#REF!</v>
      </c>
    </row>
    <row r="4" spans="2:24" s="101" customFormat="1" ht="25.2" customHeight="1" x14ac:dyDescent="0.25">
      <c r="B4" s="100" t="str">
        <f>Worksheet!$J$5</f>
        <v>Cottonwood Creek WO#I5187109-00104</v>
      </c>
      <c r="C4" s="99"/>
      <c r="D4" s="98">
        <f>Worksheet!$AA$2</f>
        <v>33303</v>
      </c>
      <c r="E4" s="422"/>
      <c r="F4" s="100" t="str">
        <f>Worksheet!$J$5</f>
        <v>Cottonwood Creek WO#I5187109-00104</v>
      </c>
      <c r="G4" s="99"/>
      <c r="H4" s="98">
        <f>Worksheet!$AA$2</f>
        <v>33303</v>
      </c>
      <c r="I4" s="422"/>
      <c r="J4" s="100" t="str">
        <f>Worksheet!$J$5</f>
        <v>Cottonwood Creek WO#I5187109-00104</v>
      </c>
      <c r="K4" s="99"/>
      <c r="L4" s="98">
        <f>Worksheet!$AA$2</f>
        <v>33303</v>
      </c>
      <c r="N4" s="100" t="str">
        <f>Worksheet!$J$5</f>
        <v>Cottonwood Creek WO#I5187109-00104</v>
      </c>
      <c r="O4" s="99"/>
      <c r="P4" s="98">
        <f>Worksheet!$AA$2</f>
        <v>33303</v>
      </c>
      <c r="Q4" s="422"/>
      <c r="R4" s="100" t="str">
        <f>Worksheet!$J$5</f>
        <v>Cottonwood Creek WO#I5187109-00104</v>
      </c>
      <c r="S4" s="99"/>
      <c r="T4" s="98">
        <f>Worksheet!$AA$2</f>
        <v>33303</v>
      </c>
      <c r="U4" s="422"/>
      <c r="V4" s="100" t="str">
        <f>Worksheet!$J$5</f>
        <v>Cottonwood Creek WO#I5187109-00104</v>
      </c>
      <c r="W4" s="99"/>
      <c r="X4" s="98">
        <f>Worksheet!$AA$2</f>
        <v>33303</v>
      </c>
    </row>
    <row r="5" spans="2:24" s="101" customFormat="1" ht="25.2" customHeight="1" x14ac:dyDescent="0.25">
      <c r="B5" s="102"/>
      <c r="C5" s="101" t="str">
        <f>Worksheet!$C19</f>
        <v>Room 104</v>
      </c>
      <c r="D5" s="103"/>
      <c r="E5" s="422"/>
      <c r="F5" s="102"/>
      <c r="G5" s="101" t="str">
        <f>Worksheet!$C20</f>
        <v>Room 104</v>
      </c>
      <c r="H5" s="103"/>
      <c r="I5" s="422"/>
      <c r="J5" s="102"/>
      <c r="K5" s="101" t="str">
        <f>Worksheet!$C21</f>
        <v>Room 104</v>
      </c>
      <c r="L5" s="103"/>
      <c r="N5" s="102"/>
      <c r="O5" s="101" t="e">
        <f>#REF!</f>
        <v>#REF!</v>
      </c>
      <c r="P5" s="103"/>
      <c r="Q5" s="422"/>
      <c r="R5" s="102"/>
      <c r="S5" s="101" t="e">
        <f>#REF!</f>
        <v>#REF!</v>
      </c>
      <c r="T5" s="103"/>
      <c r="U5" s="422"/>
      <c r="V5" s="102"/>
      <c r="W5" s="101" t="e">
        <f>#REF!</f>
        <v>#REF!</v>
      </c>
      <c r="X5" s="103"/>
    </row>
    <row r="6" spans="2:24" s="101" customFormat="1" ht="25.2" customHeight="1" thickBot="1" x14ac:dyDescent="0.3">
      <c r="B6" s="97" t="s">
        <v>222</v>
      </c>
      <c r="C6" s="96"/>
      <c r="D6" s="323" t="str">
        <f>Worksheet!$B19</f>
        <v>P1-RS4</v>
      </c>
      <c r="F6" s="97" t="s">
        <v>222</v>
      </c>
      <c r="G6" s="96"/>
      <c r="H6" s="323" t="str">
        <f>Worksheet!$B20</f>
        <v>P1-RS5</v>
      </c>
      <c r="J6" s="97" t="s">
        <v>222</v>
      </c>
      <c r="K6" s="96"/>
      <c r="L6" s="323" t="str">
        <f>Worksheet!$B21</f>
        <v>P1-RS6</v>
      </c>
      <c r="N6" s="97" t="s">
        <v>222</v>
      </c>
      <c r="O6" s="96"/>
      <c r="P6" s="323" t="e">
        <f>#REF!</f>
        <v>#REF!</v>
      </c>
      <c r="R6" s="97" t="s">
        <v>222</v>
      </c>
      <c r="S6" s="96"/>
      <c r="T6" s="323" t="e">
        <f>#REF!</f>
        <v>#REF!</v>
      </c>
      <c r="V6" s="97" t="s">
        <v>222</v>
      </c>
      <c r="W6" s="96"/>
      <c r="X6" s="323" t="e">
        <f>#REF!</f>
        <v>#REF!</v>
      </c>
    </row>
    <row r="7" spans="2:24" s="101" customFormat="1" ht="25.2" customHeight="1" x14ac:dyDescent="0.25">
      <c r="B7" s="100" t="str">
        <f>Worksheet!$J$5</f>
        <v>Cottonwood Creek WO#I5187109-00104</v>
      </c>
      <c r="C7" s="99"/>
      <c r="D7" s="98">
        <f>Worksheet!$AA$2</f>
        <v>33303</v>
      </c>
      <c r="E7" s="422"/>
      <c r="F7" s="100" t="str">
        <f>Worksheet!$J$5</f>
        <v>Cottonwood Creek WO#I5187109-00104</v>
      </c>
      <c r="G7" s="99"/>
      <c r="H7" s="98">
        <f>Worksheet!$AA$2</f>
        <v>33303</v>
      </c>
      <c r="I7" s="422"/>
      <c r="J7" s="100" t="str">
        <f>Worksheet!$J$5</f>
        <v>Cottonwood Creek WO#I5187109-00104</v>
      </c>
      <c r="K7" s="99"/>
      <c r="L7" s="98">
        <f>Worksheet!$AA$2</f>
        <v>33303</v>
      </c>
      <c r="N7" s="100" t="str">
        <f>Worksheet!$J$5</f>
        <v>Cottonwood Creek WO#I5187109-00104</v>
      </c>
      <c r="O7" s="99"/>
      <c r="P7" s="98">
        <f>Worksheet!$AA$2</f>
        <v>33303</v>
      </c>
      <c r="Q7" s="422"/>
      <c r="R7" s="100" t="str">
        <f>Worksheet!$J$5</f>
        <v>Cottonwood Creek WO#I5187109-00104</v>
      </c>
      <c r="S7" s="99"/>
      <c r="T7" s="98">
        <f>Worksheet!$AA$2</f>
        <v>33303</v>
      </c>
      <c r="U7" s="422"/>
      <c r="V7" s="100" t="str">
        <f>Worksheet!$J$5</f>
        <v>Cottonwood Creek WO#I5187109-00104</v>
      </c>
      <c r="W7" s="99"/>
      <c r="X7" s="98">
        <f>Worksheet!$AA$2</f>
        <v>33303</v>
      </c>
    </row>
    <row r="8" spans="2:24" s="101" customFormat="1" ht="25.2" customHeight="1" x14ac:dyDescent="0.25">
      <c r="B8" s="102"/>
      <c r="C8" s="101" t="str">
        <f>Worksheet!$C22</f>
        <v>Room 105</v>
      </c>
      <c r="D8" s="103"/>
      <c r="E8" s="422"/>
      <c r="F8" s="102"/>
      <c r="G8" s="101">
        <f>Worksheet!$C23</f>
        <v>0</v>
      </c>
      <c r="H8" s="103"/>
      <c r="I8" s="422"/>
      <c r="J8" s="102"/>
      <c r="K8" s="101">
        <f>Worksheet!$C24</f>
        <v>0</v>
      </c>
      <c r="L8" s="103"/>
      <c r="N8" s="102"/>
      <c r="O8" s="101" t="e">
        <f>#REF!</f>
        <v>#REF!</v>
      </c>
      <c r="P8" s="103"/>
      <c r="Q8" s="422"/>
      <c r="R8" s="102"/>
      <c r="S8" s="101" t="e">
        <f>#REF!</f>
        <v>#REF!</v>
      </c>
      <c r="T8" s="103"/>
      <c r="U8" s="422"/>
      <c r="V8" s="102"/>
      <c r="W8" s="101" t="e">
        <f>#REF!</f>
        <v>#REF!</v>
      </c>
      <c r="X8" s="103"/>
    </row>
    <row r="9" spans="2:24" s="101" customFormat="1" ht="25.2" customHeight="1" thickBot="1" x14ac:dyDescent="0.3">
      <c r="B9" s="97" t="s">
        <v>222</v>
      </c>
      <c r="C9" s="96"/>
      <c r="D9" s="323" t="str">
        <f>Worksheet!$B22</f>
        <v>P1-RS7</v>
      </c>
      <c r="F9" s="97" t="s">
        <v>222</v>
      </c>
      <c r="G9" s="96"/>
      <c r="H9" s="323" t="str">
        <f>Worksheet!$B23</f>
        <v>P1-RS8</v>
      </c>
      <c r="J9" s="97" t="s">
        <v>222</v>
      </c>
      <c r="K9" s="96"/>
      <c r="L9" s="323" t="str">
        <f>Worksheet!$B24</f>
        <v>P1-RS9</v>
      </c>
      <c r="N9" s="97" t="s">
        <v>222</v>
      </c>
      <c r="O9" s="96"/>
      <c r="P9" s="323" t="e">
        <f>#REF!</f>
        <v>#REF!</v>
      </c>
      <c r="R9" s="97" t="s">
        <v>222</v>
      </c>
      <c r="S9" s="96"/>
      <c r="T9" s="323" t="e">
        <f>#REF!</f>
        <v>#REF!</v>
      </c>
      <c r="V9" s="97" t="s">
        <v>222</v>
      </c>
      <c r="W9" s="96"/>
      <c r="X9" s="323" t="e">
        <f>#REF!</f>
        <v>#REF!</v>
      </c>
    </row>
    <row r="10" spans="2:24" s="101" customFormat="1" ht="25.95" customHeight="1" x14ac:dyDescent="0.25">
      <c r="B10" s="100" t="str">
        <f>Worksheet!$J$5</f>
        <v>Cottonwood Creek WO#I5187109-00104</v>
      </c>
      <c r="C10" s="99"/>
      <c r="D10" s="98">
        <f>Worksheet!$AA$2</f>
        <v>33303</v>
      </c>
      <c r="E10" s="422"/>
      <c r="F10" s="100" t="str">
        <f>Worksheet!$J$5</f>
        <v>Cottonwood Creek WO#I5187109-00104</v>
      </c>
      <c r="G10" s="99"/>
      <c r="H10" s="98">
        <f>Worksheet!$AA$2</f>
        <v>33303</v>
      </c>
      <c r="I10" s="422"/>
      <c r="J10" s="100" t="str">
        <f>Worksheet!$J$5</f>
        <v>Cottonwood Creek WO#I5187109-00104</v>
      </c>
      <c r="K10" s="99"/>
      <c r="L10" s="98">
        <f>Worksheet!$AA$2</f>
        <v>33303</v>
      </c>
      <c r="N10" s="100" t="str">
        <f>Worksheet!$J$5</f>
        <v>Cottonwood Creek WO#I5187109-00104</v>
      </c>
      <c r="O10" s="99"/>
      <c r="P10" s="98">
        <f>Worksheet!$AA$2</f>
        <v>33303</v>
      </c>
      <c r="Q10" s="422"/>
      <c r="R10" s="100" t="str">
        <f>Worksheet!$J$5</f>
        <v>Cottonwood Creek WO#I5187109-00104</v>
      </c>
      <c r="S10" s="99"/>
      <c r="T10" s="98">
        <f>Worksheet!$AA$2</f>
        <v>33303</v>
      </c>
      <c r="U10" s="422"/>
      <c r="V10" s="100" t="str">
        <f>Worksheet!$J$5</f>
        <v>Cottonwood Creek WO#I5187109-00104</v>
      </c>
      <c r="W10" s="99"/>
      <c r="X10" s="98">
        <f>Worksheet!$AA$2</f>
        <v>33303</v>
      </c>
    </row>
    <row r="11" spans="2:24" s="101" customFormat="1" ht="25.95" customHeight="1" x14ac:dyDescent="0.25">
      <c r="B11" s="102"/>
      <c r="C11" s="101">
        <f>Worksheet!$C25</f>
        <v>0</v>
      </c>
      <c r="D11" s="103"/>
      <c r="E11" s="422"/>
      <c r="F11" s="102"/>
      <c r="G11" s="101">
        <f>Worksheet!$C26</f>
        <v>0</v>
      </c>
      <c r="H11" s="103"/>
      <c r="I11" s="422"/>
      <c r="J11" s="102"/>
      <c r="K11" s="101">
        <f>Worksheet!$C27</f>
        <v>0</v>
      </c>
      <c r="L11" s="103"/>
      <c r="N11" s="102"/>
      <c r="O11" s="101" t="e">
        <f>#REF!</f>
        <v>#REF!</v>
      </c>
      <c r="P11" s="103"/>
      <c r="Q11" s="422"/>
      <c r="R11" s="102"/>
      <c r="S11" s="101" t="e">
        <f>#REF!</f>
        <v>#REF!</v>
      </c>
      <c r="T11" s="103"/>
      <c r="U11" s="422"/>
      <c r="V11" s="102"/>
      <c r="W11" s="101" t="e">
        <f>#REF!</f>
        <v>#REF!</v>
      </c>
      <c r="X11" s="103"/>
    </row>
    <row r="12" spans="2:24" s="101" customFormat="1" ht="25.95" customHeight="1" thickBot="1" x14ac:dyDescent="0.3">
      <c r="B12" s="97" t="s">
        <v>222</v>
      </c>
      <c r="C12" s="96"/>
      <c r="D12" s="323" t="str">
        <f>Worksheet!$B25</f>
        <v>P1-RS10</v>
      </c>
      <c r="F12" s="97" t="s">
        <v>222</v>
      </c>
      <c r="G12" s="96"/>
      <c r="H12" s="323" t="str">
        <f>Worksheet!$B26</f>
        <v>P1-RS11</v>
      </c>
      <c r="J12" s="97" t="s">
        <v>222</v>
      </c>
      <c r="K12" s="96"/>
      <c r="L12" s="323" t="str">
        <f>Worksheet!$B27</f>
        <v>P1-RS12</v>
      </c>
      <c r="N12" s="97" t="s">
        <v>222</v>
      </c>
      <c r="O12" s="96"/>
      <c r="P12" s="323" t="e">
        <f>#REF!</f>
        <v>#REF!</v>
      </c>
      <c r="R12" s="97" t="s">
        <v>222</v>
      </c>
      <c r="S12" s="96"/>
      <c r="T12" s="323" t="e">
        <f>#REF!</f>
        <v>#REF!</v>
      </c>
      <c r="V12" s="97" t="s">
        <v>222</v>
      </c>
      <c r="W12" s="96"/>
      <c r="X12" s="323" t="e">
        <f>#REF!</f>
        <v>#REF!</v>
      </c>
    </row>
    <row r="13" spans="2:24" s="101" customFormat="1" ht="25.95" customHeight="1" x14ac:dyDescent="0.25">
      <c r="B13" s="100" t="str">
        <f>Worksheet!$J$5</f>
        <v>Cottonwood Creek WO#I5187109-00104</v>
      </c>
      <c r="C13" s="99"/>
      <c r="D13" s="98">
        <f>Worksheet!$AA$2</f>
        <v>33303</v>
      </c>
      <c r="E13" s="422"/>
      <c r="F13" s="100" t="str">
        <f>Worksheet!$J$5</f>
        <v>Cottonwood Creek WO#I5187109-00104</v>
      </c>
      <c r="G13" s="99"/>
      <c r="H13" s="98">
        <f>Worksheet!$AA$2</f>
        <v>33303</v>
      </c>
      <c r="I13" s="422"/>
      <c r="J13" s="100" t="str">
        <f>Worksheet!$J$5</f>
        <v>Cottonwood Creek WO#I5187109-00104</v>
      </c>
      <c r="K13" s="99"/>
      <c r="L13" s="98">
        <f>Worksheet!$AA$2</f>
        <v>33303</v>
      </c>
      <c r="N13" s="100" t="str">
        <f>Worksheet!$J$5</f>
        <v>Cottonwood Creek WO#I5187109-00104</v>
      </c>
      <c r="O13" s="99"/>
      <c r="P13" s="98">
        <f>Worksheet!$AA$2</f>
        <v>33303</v>
      </c>
      <c r="Q13" s="422"/>
      <c r="R13" s="100" t="str">
        <f>Worksheet!$J$5</f>
        <v>Cottonwood Creek WO#I5187109-00104</v>
      </c>
      <c r="S13" s="99"/>
      <c r="T13" s="98">
        <f>Worksheet!$AA$2</f>
        <v>33303</v>
      </c>
      <c r="U13" s="422"/>
      <c r="V13" s="100" t="str">
        <f>Worksheet!$J$5</f>
        <v>Cottonwood Creek WO#I5187109-00104</v>
      </c>
      <c r="W13" s="99"/>
      <c r="X13" s="98">
        <f>Worksheet!$AA$2</f>
        <v>33303</v>
      </c>
    </row>
    <row r="14" spans="2:24" s="101" customFormat="1" ht="25.95" customHeight="1" x14ac:dyDescent="0.25">
      <c r="B14" s="102"/>
      <c r="C14" s="101">
        <f>Worksheet!$C28</f>
        <v>0</v>
      </c>
      <c r="D14" s="103"/>
      <c r="E14" s="422"/>
      <c r="F14" s="102"/>
      <c r="G14" s="101">
        <f>Worksheet!$C29</f>
        <v>0</v>
      </c>
      <c r="H14" s="103"/>
      <c r="I14" s="422"/>
      <c r="J14" s="102"/>
      <c r="K14" s="101">
        <f>Worksheet!$C30</f>
        <v>0</v>
      </c>
      <c r="L14" s="103"/>
      <c r="N14" s="102"/>
      <c r="O14" s="101" t="e">
        <f>#REF!</f>
        <v>#REF!</v>
      </c>
      <c r="P14" s="103"/>
      <c r="Q14" s="422"/>
      <c r="R14" s="102"/>
      <c r="S14" s="101" t="e">
        <f>#REF!</f>
        <v>#REF!</v>
      </c>
      <c r="T14" s="103"/>
      <c r="U14" s="422"/>
      <c r="V14" s="102"/>
      <c r="W14" s="101" t="e">
        <f>#REF!</f>
        <v>#REF!</v>
      </c>
      <c r="X14" s="103"/>
    </row>
    <row r="15" spans="2:24" s="101" customFormat="1" ht="25.95" customHeight="1" thickBot="1" x14ac:dyDescent="0.3">
      <c r="B15" s="97" t="s">
        <v>222</v>
      </c>
      <c r="C15" s="96"/>
      <c r="D15" s="323" t="str">
        <f>Worksheet!$B28</f>
        <v>P1-RS13</v>
      </c>
      <c r="F15" s="97" t="s">
        <v>222</v>
      </c>
      <c r="G15" s="96"/>
      <c r="H15" s="323" t="str">
        <f>Worksheet!$B29</f>
        <v>P1-RS14</v>
      </c>
      <c r="J15" s="97" t="s">
        <v>222</v>
      </c>
      <c r="K15" s="96"/>
      <c r="L15" s="323" t="str">
        <f>Worksheet!$B30</f>
        <v>P1-RS15</v>
      </c>
      <c r="N15" s="97" t="s">
        <v>222</v>
      </c>
      <c r="O15" s="96"/>
      <c r="P15" s="323" t="e">
        <f>#REF!</f>
        <v>#REF!</v>
      </c>
      <c r="R15" s="97" t="s">
        <v>222</v>
      </c>
      <c r="S15" s="96"/>
      <c r="T15" s="323" t="e">
        <f>#REF!</f>
        <v>#REF!</v>
      </c>
      <c r="V15" s="97" t="s">
        <v>222</v>
      </c>
      <c r="W15" s="96"/>
      <c r="X15" s="323" t="e">
        <f>#REF!</f>
        <v>#REF!</v>
      </c>
    </row>
    <row r="16" spans="2:24" s="101" customFormat="1" ht="25.95" customHeight="1" x14ac:dyDescent="0.25">
      <c r="B16" s="100" t="str">
        <f>Worksheet!$J$5</f>
        <v>Cottonwood Creek WO#I5187109-00104</v>
      </c>
      <c r="C16" s="99"/>
      <c r="D16" s="98">
        <f>Worksheet!$AA$2</f>
        <v>33303</v>
      </c>
      <c r="E16" s="422"/>
      <c r="F16" s="100" t="str">
        <f>Worksheet!$J$5</f>
        <v>Cottonwood Creek WO#I5187109-00104</v>
      </c>
      <c r="G16" s="99"/>
      <c r="H16" s="98">
        <f>Worksheet!$AA$2</f>
        <v>33303</v>
      </c>
      <c r="I16" s="422"/>
      <c r="J16" s="100" t="str">
        <f>Worksheet!$J$5</f>
        <v>Cottonwood Creek WO#I5187109-00104</v>
      </c>
      <c r="K16" s="99"/>
      <c r="L16" s="98">
        <f>Worksheet!$AA$2</f>
        <v>33303</v>
      </c>
      <c r="N16" s="100" t="str">
        <f>Worksheet!$J$5</f>
        <v>Cottonwood Creek WO#I5187109-00104</v>
      </c>
      <c r="O16" s="99"/>
      <c r="P16" s="98">
        <f>Worksheet!$AA$2</f>
        <v>33303</v>
      </c>
      <c r="Q16" s="422"/>
      <c r="R16" s="100" t="str">
        <f>Worksheet!$J$5</f>
        <v>Cottonwood Creek WO#I5187109-00104</v>
      </c>
      <c r="S16" s="99"/>
      <c r="T16" s="98">
        <f>Worksheet!$AA$2</f>
        <v>33303</v>
      </c>
      <c r="U16" s="422"/>
      <c r="V16" s="100" t="str">
        <f>Worksheet!$J$5</f>
        <v>Cottonwood Creek WO#I5187109-00104</v>
      </c>
      <c r="W16" s="99"/>
      <c r="X16" s="98">
        <f>Worksheet!$AA$2</f>
        <v>33303</v>
      </c>
    </row>
    <row r="17" spans="2:24" s="101" customFormat="1" ht="25.95" customHeight="1" x14ac:dyDescent="0.25">
      <c r="B17" s="102"/>
      <c r="C17" s="101">
        <f>Worksheet!$C31</f>
        <v>0</v>
      </c>
      <c r="D17" s="103"/>
      <c r="E17" s="422"/>
      <c r="F17" s="102"/>
      <c r="G17" s="101">
        <f>Worksheet!$C32</f>
        <v>0</v>
      </c>
      <c r="H17" s="103"/>
      <c r="I17" s="422"/>
      <c r="J17" s="102"/>
      <c r="K17" s="101">
        <f>Worksheet!$C33</f>
        <v>0</v>
      </c>
      <c r="L17" s="103"/>
      <c r="N17" s="102"/>
      <c r="O17" s="101" t="e">
        <f>#REF!</f>
        <v>#REF!</v>
      </c>
      <c r="P17" s="103"/>
      <c r="Q17" s="422"/>
      <c r="R17" s="102"/>
      <c r="S17" s="101" t="e">
        <f>#REF!</f>
        <v>#REF!</v>
      </c>
      <c r="T17" s="103"/>
      <c r="U17" s="422"/>
      <c r="V17" s="102"/>
      <c r="W17" s="101" t="e">
        <f>#REF!</f>
        <v>#REF!</v>
      </c>
      <c r="X17" s="103"/>
    </row>
    <row r="18" spans="2:24" s="101" customFormat="1" ht="25.95" customHeight="1" thickBot="1" x14ac:dyDescent="0.3">
      <c r="B18" s="97" t="s">
        <v>222</v>
      </c>
      <c r="C18" s="96"/>
      <c r="D18" s="323" t="str">
        <f>Worksheet!$B31</f>
        <v>P1-RS16</v>
      </c>
      <c r="F18" s="97" t="s">
        <v>222</v>
      </c>
      <c r="G18" s="96"/>
      <c r="H18" s="323" t="str">
        <f>Worksheet!$B32</f>
        <v>P1-RS17</v>
      </c>
      <c r="J18" s="97" t="s">
        <v>222</v>
      </c>
      <c r="K18" s="96"/>
      <c r="L18" s="323" t="str">
        <f>Worksheet!$B33</f>
        <v>P1-RS18</v>
      </c>
      <c r="N18" s="97" t="s">
        <v>222</v>
      </c>
      <c r="O18" s="96"/>
      <c r="P18" s="323" t="e">
        <f>#REF!</f>
        <v>#REF!</v>
      </c>
      <c r="R18" s="97" t="s">
        <v>222</v>
      </c>
      <c r="S18" s="96"/>
      <c r="T18" s="323" t="e">
        <f>#REF!</f>
        <v>#REF!</v>
      </c>
      <c r="V18" s="97" t="s">
        <v>222</v>
      </c>
      <c r="W18" s="96"/>
      <c r="X18" s="323" t="e">
        <f>#REF!</f>
        <v>#REF!</v>
      </c>
    </row>
    <row r="19" spans="2:24" s="101" customFormat="1" ht="25.5" customHeight="1" x14ac:dyDescent="0.25">
      <c r="B19" s="100" t="str">
        <f>Worksheet!$J$5</f>
        <v>Cottonwood Creek WO#I5187109-00104</v>
      </c>
      <c r="C19" s="99"/>
      <c r="D19" s="98">
        <f>Worksheet!$AA$2</f>
        <v>33303</v>
      </c>
      <c r="E19" s="422"/>
      <c r="F19" s="100" t="str">
        <f>Worksheet!$J$5</f>
        <v>Cottonwood Creek WO#I5187109-00104</v>
      </c>
      <c r="G19" s="99"/>
      <c r="H19" s="98">
        <f>Worksheet!$AA$2</f>
        <v>33303</v>
      </c>
      <c r="I19" s="422"/>
      <c r="J19" s="100" t="str">
        <f>Worksheet!$J$5</f>
        <v>Cottonwood Creek WO#I5187109-00104</v>
      </c>
      <c r="K19" s="99"/>
      <c r="L19" s="98">
        <f>Worksheet!$AA$2</f>
        <v>33303</v>
      </c>
      <c r="N19" s="100" t="str">
        <f>Worksheet!$J$5</f>
        <v>Cottonwood Creek WO#I5187109-00104</v>
      </c>
      <c r="O19" s="99"/>
      <c r="P19" s="98">
        <f>Worksheet!$AA$2</f>
        <v>33303</v>
      </c>
      <c r="Q19" s="422"/>
      <c r="R19" s="100" t="str">
        <f>Worksheet!$J$5</f>
        <v>Cottonwood Creek WO#I5187109-00104</v>
      </c>
      <c r="S19" s="99"/>
      <c r="T19" s="98">
        <f>Worksheet!$AA$2</f>
        <v>33303</v>
      </c>
      <c r="U19" s="422"/>
      <c r="V19" s="100"/>
      <c r="W19" s="99"/>
      <c r="X19" s="98"/>
    </row>
    <row r="20" spans="2:24" s="101" customFormat="1" ht="25.5" customHeight="1" x14ac:dyDescent="0.25">
      <c r="B20" s="102"/>
      <c r="C20" s="101">
        <f>Worksheet!$C34</f>
        <v>0</v>
      </c>
      <c r="D20" s="103"/>
      <c r="E20" s="422"/>
      <c r="F20" s="102"/>
      <c r="G20" s="101">
        <f>Worksheet!$C35</f>
        <v>0</v>
      </c>
      <c r="H20" s="103"/>
      <c r="I20" s="422"/>
      <c r="J20" s="102"/>
      <c r="K20" s="101">
        <f>Worksheet!$C36</f>
        <v>0</v>
      </c>
      <c r="L20" s="103"/>
      <c r="N20" s="102"/>
      <c r="O20" s="101" t="e">
        <f>#REF!</f>
        <v>#REF!</v>
      </c>
      <c r="P20" s="103"/>
      <c r="Q20" s="422"/>
      <c r="R20" s="102"/>
      <c r="S20" s="101" t="e">
        <f>#REF!</f>
        <v>#REF!</v>
      </c>
      <c r="T20" s="103"/>
      <c r="U20" s="422"/>
      <c r="V20" s="102"/>
      <c r="X20" s="103"/>
    </row>
    <row r="21" spans="2:24" s="101" customFormat="1" ht="25.5" customHeight="1" thickBot="1" x14ac:dyDescent="0.3">
      <c r="B21" s="97" t="s">
        <v>222</v>
      </c>
      <c r="C21" s="96"/>
      <c r="D21" s="323" t="str">
        <f>Worksheet!$B34</f>
        <v>P1-RS19</v>
      </c>
      <c r="F21" s="97" t="s">
        <v>222</v>
      </c>
      <c r="G21" s="96"/>
      <c r="H21" s="323" t="str">
        <f>Worksheet!$B35</f>
        <v>P1-RS20</v>
      </c>
      <c r="J21" s="97" t="s">
        <v>222</v>
      </c>
      <c r="K21" s="96"/>
      <c r="L21" s="323" t="str">
        <f>Worksheet!$B36</f>
        <v>P1-RS21</v>
      </c>
      <c r="N21" s="97" t="s">
        <v>222</v>
      </c>
      <c r="O21" s="96"/>
      <c r="P21" s="323" t="e">
        <f>#REF!</f>
        <v>#REF!</v>
      </c>
      <c r="R21" s="97" t="s">
        <v>222</v>
      </c>
      <c r="S21" s="96"/>
      <c r="T21" s="323" t="e">
        <f>#REF!</f>
        <v>#REF!</v>
      </c>
      <c r="V21" s="97"/>
      <c r="W21" s="96"/>
      <c r="X21" s="323"/>
    </row>
    <row r="22" spans="2:24" s="101" customFormat="1" ht="25.5" customHeight="1" x14ac:dyDescent="0.25">
      <c r="B22" s="100" t="str">
        <f>Worksheet!$J$5</f>
        <v>Cottonwood Creek WO#I5187109-00104</v>
      </c>
      <c r="C22" s="99"/>
      <c r="D22" s="98">
        <f>Worksheet!$AA$2</f>
        <v>33303</v>
      </c>
      <c r="E22" s="422"/>
      <c r="F22" s="100" t="str">
        <f>Worksheet!$J$5</f>
        <v>Cottonwood Creek WO#I5187109-00104</v>
      </c>
      <c r="G22" s="99"/>
      <c r="H22" s="98">
        <f>Worksheet!$AA$2</f>
        <v>33303</v>
      </c>
      <c r="I22" s="422"/>
      <c r="J22" s="100" t="str">
        <f>Worksheet!$J$5</f>
        <v>Cottonwood Creek WO#I5187109-00104</v>
      </c>
      <c r="K22" s="99"/>
      <c r="L22" s="98">
        <f>Worksheet!$AA$2</f>
        <v>33303</v>
      </c>
      <c r="N22" s="100"/>
      <c r="O22" s="99"/>
      <c r="P22" s="98"/>
      <c r="Q22" s="422"/>
      <c r="R22" s="100"/>
      <c r="S22" s="99"/>
      <c r="T22" s="98"/>
      <c r="U22" s="422"/>
      <c r="V22" s="100"/>
      <c r="W22" s="99"/>
      <c r="X22" s="98"/>
    </row>
    <row r="23" spans="2:24" s="101" customFormat="1" ht="25.5" customHeight="1" x14ac:dyDescent="0.25">
      <c r="B23" s="102"/>
      <c r="C23" s="101">
        <f>Worksheet!$C37</f>
        <v>0</v>
      </c>
      <c r="D23" s="103"/>
      <c r="E23" s="422"/>
      <c r="F23" s="102"/>
      <c r="G23" s="101">
        <f>Worksheet!$C38</f>
        <v>0</v>
      </c>
      <c r="H23" s="103"/>
      <c r="I23" s="422"/>
      <c r="J23" s="102"/>
      <c r="K23" s="101">
        <f>Worksheet!$C39</f>
        <v>0</v>
      </c>
      <c r="L23" s="103"/>
      <c r="N23" s="102"/>
      <c r="P23" s="103"/>
      <c r="Q23" s="422"/>
      <c r="R23" s="102"/>
      <c r="T23" s="103"/>
      <c r="U23" s="422"/>
      <c r="V23" s="102"/>
      <c r="X23" s="103"/>
    </row>
    <row r="24" spans="2:24" s="101" customFormat="1" ht="25.5" customHeight="1" thickBot="1" x14ac:dyDescent="0.3">
      <c r="B24" s="97" t="s">
        <v>222</v>
      </c>
      <c r="C24" s="96"/>
      <c r="D24" s="323" t="str">
        <f>Worksheet!$B37</f>
        <v>P1-RS22</v>
      </c>
      <c r="F24" s="97" t="s">
        <v>222</v>
      </c>
      <c r="G24" s="96"/>
      <c r="H24" s="323" t="str">
        <f>Worksheet!$B38</f>
        <v>P1-RS23</v>
      </c>
      <c r="J24" s="97" t="s">
        <v>222</v>
      </c>
      <c r="K24" s="96"/>
      <c r="L24" s="323" t="str">
        <f>Worksheet!$B39</f>
        <v>P1-RS24</v>
      </c>
      <c r="N24" s="97"/>
      <c r="O24" s="96"/>
      <c r="P24" s="323"/>
      <c r="R24" s="97"/>
      <c r="S24" s="96"/>
      <c r="T24" s="323"/>
      <c r="V24" s="97"/>
      <c r="W24" s="96"/>
      <c r="X24" s="323"/>
    </row>
    <row r="25" spans="2:24" s="101" customFormat="1" ht="25.5" customHeight="1" x14ac:dyDescent="0.25">
      <c r="B25" s="100" t="str">
        <f>Worksheet!$J$5</f>
        <v>Cottonwood Creek WO#I5187109-00104</v>
      </c>
      <c r="C25" s="99"/>
      <c r="D25" s="98">
        <f>Worksheet!$AA$2</f>
        <v>33303</v>
      </c>
      <c r="E25" s="422"/>
      <c r="F25" s="100" t="str">
        <f>Worksheet!$J$5</f>
        <v>Cottonwood Creek WO#I5187109-00104</v>
      </c>
      <c r="G25" s="99"/>
      <c r="H25" s="98">
        <f>Worksheet!$AA$2</f>
        <v>33303</v>
      </c>
      <c r="I25" s="422"/>
      <c r="J25" s="100" t="str">
        <f>Worksheet!$J$5</f>
        <v>Cottonwood Creek WO#I5187109-00104</v>
      </c>
      <c r="K25" s="99"/>
      <c r="L25" s="98">
        <f>Worksheet!$AA$2</f>
        <v>33303</v>
      </c>
      <c r="N25" s="100"/>
      <c r="O25" s="99"/>
      <c r="P25" s="98"/>
      <c r="Q25" s="422"/>
      <c r="R25" s="100"/>
      <c r="S25" s="99"/>
      <c r="T25" s="98"/>
      <c r="U25" s="422"/>
      <c r="V25" s="100"/>
      <c r="W25" s="99"/>
      <c r="X25" s="98"/>
    </row>
    <row r="26" spans="2:24" s="101" customFormat="1" ht="25.5" customHeight="1" x14ac:dyDescent="0.25">
      <c r="B26" s="102"/>
      <c r="C26" s="101">
        <f>Worksheet!$C40</f>
        <v>0</v>
      </c>
      <c r="D26" s="103"/>
      <c r="E26" s="422"/>
      <c r="F26" s="102"/>
      <c r="G26" s="101" t="e">
        <f>#REF!</f>
        <v>#REF!</v>
      </c>
      <c r="H26" s="103"/>
      <c r="I26" s="422"/>
      <c r="J26" s="102"/>
      <c r="K26" s="101" t="e">
        <f>#REF!</f>
        <v>#REF!</v>
      </c>
      <c r="L26" s="103"/>
      <c r="N26" s="102"/>
      <c r="P26" s="103"/>
      <c r="Q26" s="422"/>
      <c r="R26" s="102"/>
      <c r="T26" s="103"/>
      <c r="U26" s="422"/>
      <c r="V26" s="102"/>
      <c r="X26" s="103"/>
    </row>
    <row r="27" spans="2:24" s="101" customFormat="1" ht="25.5" customHeight="1" thickBot="1" x14ac:dyDescent="0.3">
      <c r="B27" s="97" t="s">
        <v>222</v>
      </c>
      <c r="C27" s="96"/>
      <c r="D27" s="323" t="str">
        <f>Worksheet!$B40</f>
        <v>P1-RS25</v>
      </c>
      <c r="F27" s="97" t="s">
        <v>222</v>
      </c>
      <c r="G27" s="96"/>
      <c r="H27" s="323" t="e">
        <f>#REF!</f>
        <v>#REF!</v>
      </c>
      <c r="J27" s="97" t="s">
        <v>222</v>
      </c>
      <c r="K27" s="96"/>
      <c r="L27" s="323" t="e">
        <f>#REF!</f>
        <v>#REF!</v>
      </c>
      <c r="N27" s="97"/>
      <c r="O27" s="96"/>
      <c r="P27" s="323"/>
      <c r="R27" s="97"/>
      <c r="S27" s="96"/>
      <c r="T27" s="323"/>
      <c r="V27" s="97"/>
      <c r="W27" s="96"/>
      <c r="X27" s="323"/>
    </row>
    <row r="28" spans="2:24" s="101" customFormat="1" ht="25.5" customHeight="1" x14ac:dyDescent="0.25">
      <c r="B28" s="100" t="str">
        <f>Worksheet!$J$5</f>
        <v>Cottonwood Creek WO#I5187109-00104</v>
      </c>
      <c r="C28" s="99"/>
      <c r="D28" s="98">
        <f>Worksheet!$AA$2</f>
        <v>33303</v>
      </c>
      <c r="E28" s="422"/>
      <c r="F28" s="100" t="str">
        <f>Worksheet!$J$5</f>
        <v>Cottonwood Creek WO#I5187109-00104</v>
      </c>
      <c r="G28" s="99"/>
      <c r="H28" s="98">
        <f>Worksheet!$AA$2</f>
        <v>33303</v>
      </c>
      <c r="I28" s="422"/>
      <c r="J28" s="100" t="str">
        <f>Worksheet!$J$5</f>
        <v>Cottonwood Creek WO#I5187109-00104</v>
      </c>
      <c r="K28" s="99"/>
      <c r="L28" s="98">
        <f>Worksheet!$AA$2</f>
        <v>33303</v>
      </c>
      <c r="N28" s="100"/>
      <c r="O28" s="99"/>
      <c r="P28" s="98"/>
      <c r="Q28" s="422"/>
      <c r="R28" s="100"/>
      <c r="S28" s="99"/>
      <c r="T28" s="98"/>
      <c r="U28" s="422"/>
      <c r="V28" s="100"/>
      <c r="W28" s="99"/>
      <c r="X28" s="98"/>
    </row>
    <row r="29" spans="2:24" s="101" customFormat="1" ht="25.5" customHeight="1" x14ac:dyDescent="0.25">
      <c r="B29" s="102"/>
      <c r="C29" s="101" t="e">
        <f>#REF!</f>
        <v>#REF!</v>
      </c>
      <c r="D29" s="103"/>
      <c r="E29" s="422"/>
      <c r="F29" s="102"/>
      <c r="G29" s="101" t="e">
        <f>#REF!</f>
        <v>#REF!</v>
      </c>
      <c r="H29" s="103"/>
      <c r="I29" s="422"/>
      <c r="J29" s="102"/>
      <c r="K29" s="101" t="e">
        <f>#REF!</f>
        <v>#REF!</v>
      </c>
      <c r="L29" s="103"/>
      <c r="N29" s="102"/>
      <c r="P29" s="103"/>
      <c r="Q29" s="422"/>
      <c r="R29" s="102"/>
      <c r="T29" s="103"/>
      <c r="U29" s="422"/>
      <c r="V29" s="102"/>
      <c r="X29" s="103"/>
    </row>
    <row r="30" spans="2:24" s="101" customFormat="1" ht="25.5" customHeight="1" thickBot="1" x14ac:dyDescent="0.3">
      <c r="B30" s="97" t="s">
        <v>222</v>
      </c>
      <c r="C30" s="96"/>
      <c r="D30" s="323" t="e">
        <f>#REF!</f>
        <v>#REF!</v>
      </c>
      <c r="F30" s="97" t="s">
        <v>222</v>
      </c>
      <c r="G30" s="96"/>
      <c r="H30" s="323" t="e">
        <f>#REF!</f>
        <v>#REF!</v>
      </c>
      <c r="J30" s="97" t="s">
        <v>222</v>
      </c>
      <c r="K30" s="96"/>
      <c r="L30" s="323" t="e">
        <f>#REF!</f>
        <v>#REF!</v>
      </c>
      <c r="N30" s="97"/>
      <c r="O30" s="96"/>
      <c r="P30" s="323"/>
      <c r="R30" s="97"/>
      <c r="S30" s="96"/>
      <c r="T30" s="323"/>
      <c r="V30" s="97"/>
      <c r="W30" s="96"/>
      <c r="X30" s="323"/>
    </row>
  </sheetData>
  <pageMargins left="0" right="0" top="0.5" bottom="0.25" header="0" footer="0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0029A-6A3E-4650-896B-E7BBB82F6006}">
  <dimension ref="B1:AF52"/>
  <sheetViews>
    <sheetView showWhiteSpace="0" view="pageBreakPreview" topLeftCell="A4" zoomScale="120" zoomScaleNormal="100" zoomScaleSheetLayoutView="120" workbookViewId="0">
      <selection activeCell="J26" sqref="J26"/>
    </sheetView>
  </sheetViews>
  <sheetFormatPr defaultColWidth="9.109375" defaultRowHeight="13.2" x14ac:dyDescent="0.25"/>
  <cols>
    <col min="1" max="1" width="9.109375" style="354"/>
    <col min="2" max="2" width="9.6640625" style="358" customWidth="1"/>
    <col min="3" max="3" width="2.88671875" style="358" customWidth="1"/>
    <col min="4" max="4" width="9.6640625" style="358" customWidth="1"/>
    <col min="5" max="5" width="4" style="358" customWidth="1"/>
    <col min="6" max="6" width="9.6640625" style="358" customWidth="1"/>
    <col min="7" max="7" width="2.88671875" style="358" customWidth="1"/>
    <col min="8" max="8" width="9.6640625" style="358" customWidth="1"/>
    <col min="9" max="9" width="4.5546875" style="358" customWidth="1"/>
    <col min="10" max="10" width="9.6640625" style="358" customWidth="1"/>
    <col min="11" max="11" width="2.88671875" style="358" customWidth="1"/>
    <col min="12" max="12" width="9.6640625" style="358" customWidth="1"/>
    <col min="13" max="13" width="4.33203125" style="358" customWidth="1"/>
    <col min="14" max="14" width="9.6640625" style="358" customWidth="1"/>
    <col min="15" max="15" width="2.88671875" style="358" customWidth="1"/>
    <col min="16" max="16" width="9.6640625" style="354" customWidth="1"/>
    <col min="17" max="17" width="9.109375" style="354"/>
    <col min="18" max="18" width="9.6640625" style="358" customWidth="1"/>
    <col min="19" max="19" width="2.88671875" style="358" customWidth="1"/>
    <col min="20" max="20" width="9.6640625" style="358" customWidth="1"/>
    <col min="21" max="21" width="4" style="358" customWidth="1"/>
    <col min="22" max="22" width="9.6640625" style="358" customWidth="1"/>
    <col min="23" max="23" width="2.88671875" style="358" customWidth="1"/>
    <col min="24" max="24" width="9.6640625" style="358" customWidth="1"/>
    <col min="25" max="25" width="4.5546875" style="358" customWidth="1"/>
    <col min="26" max="26" width="9.6640625" style="358" customWidth="1"/>
    <col min="27" max="27" width="2.88671875" style="358" customWidth="1"/>
    <col min="28" max="28" width="9.6640625" style="358" customWidth="1"/>
    <col min="29" max="29" width="4.33203125" style="358" customWidth="1"/>
    <col min="30" max="30" width="9.6640625" style="358" customWidth="1"/>
    <col min="31" max="31" width="2.88671875" style="358" customWidth="1"/>
    <col min="32" max="32" width="9.6640625" style="354" customWidth="1"/>
    <col min="33" max="16384" width="9.109375" style="354"/>
  </cols>
  <sheetData>
    <row r="1" spans="2:32" ht="18.600000000000001" customHeight="1" x14ac:dyDescent="0.25">
      <c r="B1" s="435" t="str">
        <f>Worksheet!$B$16</f>
        <v>P1-RS1</v>
      </c>
      <c r="C1" s="628" t="str">
        <f>Worksheet!$C$16</f>
        <v>Chapel east</v>
      </c>
      <c r="D1" s="629"/>
      <c r="F1" s="435" t="str">
        <f>Worksheet!$B$16</f>
        <v>P1-RS1</v>
      </c>
      <c r="G1" s="628" t="str">
        <f>Worksheet!$C$16</f>
        <v>Chapel east</v>
      </c>
      <c r="H1" s="629"/>
      <c r="J1" s="435" t="str">
        <f>Worksheet!$B$16</f>
        <v>P1-RS1</v>
      </c>
      <c r="K1" s="628" t="str">
        <f>Worksheet!$C$16</f>
        <v>Chapel east</v>
      </c>
      <c r="L1" s="629"/>
      <c r="N1" s="435" t="str">
        <f>Worksheet!$B$17</f>
        <v>P1-RS2</v>
      </c>
      <c r="O1" s="628" t="str">
        <f>Worksheet!$C$17</f>
        <v>Chapel West</v>
      </c>
      <c r="P1" s="629"/>
      <c r="R1" s="435" t="e">
        <f>#REF!</f>
        <v>#REF!</v>
      </c>
      <c r="S1" s="628" t="e">
        <f>#REF!</f>
        <v>#REF!</v>
      </c>
      <c r="T1" s="629"/>
      <c r="V1" s="435" t="e">
        <f>#REF!</f>
        <v>#REF!</v>
      </c>
      <c r="W1" s="628" t="e">
        <f>#REF!</f>
        <v>#REF!</v>
      </c>
      <c r="X1" s="629"/>
      <c r="Z1" s="435" t="e">
        <f>#REF!</f>
        <v>#REF!</v>
      </c>
      <c r="AA1" s="628" t="e">
        <f>#REF!</f>
        <v>#REF!</v>
      </c>
      <c r="AB1" s="629"/>
      <c r="AD1" s="435" t="e">
        <f>#REF!</f>
        <v>#REF!</v>
      </c>
      <c r="AE1" s="628" t="e">
        <f>#REF!</f>
        <v>#REF!</v>
      </c>
      <c r="AF1" s="629"/>
    </row>
    <row r="2" spans="2:32" ht="18.600000000000001" customHeight="1" x14ac:dyDescent="0.25">
      <c r="B2" s="436">
        <f>Worksheet!$F$16</f>
        <v>45</v>
      </c>
      <c r="C2" s="437" t="s">
        <v>4</v>
      </c>
      <c r="D2" s="438">
        <f>Worksheet!$H$16</f>
        <v>135</v>
      </c>
      <c r="E2" s="439"/>
      <c r="F2" s="436">
        <f>Worksheet!$F$16</f>
        <v>45</v>
      </c>
      <c r="G2" s="437" t="s">
        <v>4</v>
      </c>
      <c r="H2" s="438">
        <f>Worksheet!$H$16</f>
        <v>135</v>
      </c>
      <c r="J2" s="436">
        <f>Worksheet!$F$16</f>
        <v>45</v>
      </c>
      <c r="K2" s="437" t="s">
        <v>4</v>
      </c>
      <c r="L2" s="438">
        <f>Worksheet!$H$16</f>
        <v>135</v>
      </c>
      <c r="N2" s="440">
        <f>Worksheet!$F$17</f>
        <v>45.75</v>
      </c>
      <c r="O2" s="439" t="s">
        <v>4</v>
      </c>
      <c r="P2" s="441">
        <f>Worksheet!$H$17</f>
        <v>103</v>
      </c>
      <c r="R2" s="436" t="e">
        <f>#REF!</f>
        <v>#REF!</v>
      </c>
      <c r="S2" s="437" t="s">
        <v>4</v>
      </c>
      <c r="T2" s="438" t="e">
        <f>#REF!</f>
        <v>#REF!</v>
      </c>
      <c r="U2" s="439"/>
      <c r="V2" s="436" t="e">
        <f>#REF!</f>
        <v>#REF!</v>
      </c>
      <c r="W2" s="437" t="s">
        <v>4</v>
      </c>
      <c r="X2" s="438" t="e">
        <f>#REF!</f>
        <v>#REF!</v>
      </c>
      <c r="Z2" s="436" t="e">
        <f>#REF!</f>
        <v>#REF!</v>
      </c>
      <c r="AA2" s="437" t="s">
        <v>4</v>
      </c>
      <c r="AB2" s="438" t="e">
        <f>#REF!</f>
        <v>#REF!</v>
      </c>
      <c r="AD2" s="436" t="e">
        <f>#REF!</f>
        <v>#REF!</v>
      </c>
      <c r="AE2" s="437" t="s">
        <v>4</v>
      </c>
      <c r="AF2" s="438" t="e">
        <f>#REF!</f>
        <v>#REF!</v>
      </c>
    </row>
    <row r="3" spans="2:32" ht="18.600000000000001" customHeight="1" x14ac:dyDescent="0.25">
      <c r="B3" s="435" t="str">
        <f>Worksheet!$B$17</f>
        <v>P1-RS2</v>
      </c>
      <c r="C3" s="628" t="str">
        <f>Worksheet!$C$17</f>
        <v>Chapel West</v>
      </c>
      <c r="D3" s="629"/>
      <c r="E3" s="439"/>
      <c r="F3" s="435" t="str">
        <f>Worksheet!$B$17</f>
        <v>P1-RS2</v>
      </c>
      <c r="G3" s="628" t="str">
        <f>Worksheet!$C$17</f>
        <v>Chapel West</v>
      </c>
      <c r="H3" s="629"/>
      <c r="J3" s="435" t="str">
        <f>Worksheet!$B$18</f>
        <v>P1-RS3</v>
      </c>
      <c r="K3" s="628" t="str">
        <f>Worksheet!$C$18</f>
        <v>Room 103</v>
      </c>
      <c r="L3" s="629"/>
      <c r="N3" s="435" t="str">
        <f>Worksheet!$B$18</f>
        <v>P1-RS3</v>
      </c>
      <c r="O3" s="628" t="str">
        <f>Worksheet!$C$18</f>
        <v>Room 103</v>
      </c>
      <c r="P3" s="629"/>
      <c r="R3" s="435" t="e">
        <f>#REF!</f>
        <v>#REF!</v>
      </c>
      <c r="S3" s="447"/>
      <c r="T3" s="448" t="e">
        <f>#REF!</f>
        <v>#REF!</v>
      </c>
      <c r="U3" s="439"/>
      <c r="V3" s="435" t="e">
        <f>#REF!</f>
        <v>#REF!</v>
      </c>
      <c r="W3" s="447"/>
      <c r="X3" s="448" t="e">
        <f>#REF!</f>
        <v>#REF!</v>
      </c>
      <c r="Z3" s="435" t="e">
        <f>#REF!</f>
        <v>#REF!</v>
      </c>
      <c r="AA3" s="628" t="e">
        <f>#REF!</f>
        <v>#REF!</v>
      </c>
      <c r="AB3" s="629"/>
      <c r="AD3" s="435" t="e">
        <f>#REF!</f>
        <v>#REF!</v>
      </c>
      <c r="AE3" s="628" t="e">
        <f>#REF!</f>
        <v>#REF!</v>
      </c>
      <c r="AF3" s="629"/>
    </row>
    <row r="4" spans="2:32" ht="18.600000000000001" customHeight="1" x14ac:dyDescent="0.25">
      <c r="B4" s="440">
        <f>Worksheet!$F$17</f>
        <v>45.75</v>
      </c>
      <c r="C4" s="439" t="s">
        <v>4</v>
      </c>
      <c r="D4" s="441">
        <f>Worksheet!$H$17</f>
        <v>103</v>
      </c>
      <c r="E4" s="439"/>
      <c r="F4" s="440">
        <f>Worksheet!$F$17</f>
        <v>45.75</v>
      </c>
      <c r="G4" s="439" t="s">
        <v>4</v>
      </c>
      <c r="H4" s="441">
        <f>Worksheet!$H$17</f>
        <v>103</v>
      </c>
      <c r="J4" s="436">
        <f>Worksheet!$F$18</f>
        <v>36.5</v>
      </c>
      <c r="K4" s="437" t="s">
        <v>4</v>
      </c>
      <c r="L4" s="438">
        <f>Worksheet!$H$18</f>
        <v>64</v>
      </c>
      <c r="N4" s="436">
        <f>Worksheet!$F$18</f>
        <v>36.5</v>
      </c>
      <c r="O4" s="437" t="s">
        <v>4</v>
      </c>
      <c r="P4" s="438">
        <f>Worksheet!$H$18</f>
        <v>64</v>
      </c>
      <c r="R4" s="436" t="e">
        <f>#REF!</f>
        <v>#REF!</v>
      </c>
      <c r="S4" s="437" t="s">
        <v>4</v>
      </c>
      <c r="T4" s="438" t="e">
        <f>#REF!</f>
        <v>#REF!</v>
      </c>
      <c r="U4" s="439"/>
      <c r="V4" s="436" t="e">
        <f>#REF!</f>
        <v>#REF!</v>
      </c>
      <c r="W4" s="437" t="s">
        <v>4</v>
      </c>
      <c r="X4" s="438" t="e">
        <f>#REF!</f>
        <v>#REF!</v>
      </c>
      <c r="Z4" s="436" t="e">
        <f>#REF!</f>
        <v>#REF!</v>
      </c>
      <c r="AA4" s="437" t="s">
        <v>4</v>
      </c>
      <c r="AB4" s="438" t="e">
        <f>#REF!</f>
        <v>#REF!</v>
      </c>
      <c r="AD4" s="436" t="e">
        <f>#REF!</f>
        <v>#REF!</v>
      </c>
      <c r="AE4" s="437" t="s">
        <v>4</v>
      </c>
      <c r="AF4" s="438" t="e">
        <f>#REF!</f>
        <v>#REF!</v>
      </c>
    </row>
    <row r="5" spans="2:32" ht="19.350000000000001" customHeight="1" x14ac:dyDescent="0.25">
      <c r="B5" s="435" t="str">
        <f>Worksheet!$B$18</f>
        <v>P1-RS3</v>
      </c>
      <c r="C5" s="628" t="str">
        <f>Worksheet!$C$18</f>
        <v>Room 103</v>
      </c>
      <c r="D5" s="629"/>
      <c r="E5" s="439"/>
      <c r="F5" s="435" t="str">
        <f>Worksheet!$B$19</f>
        <v>P1-RS4</v>
      </c>
      <c r="G5" s="630" t="str">
        <f>Worksheet!$C$19</f>
        <v>Room 104</v>
      </c>
      <c r="H5" s="631"/>
      <c r="J5" s="435" t="str">
        <f>Worksheet!$B$19</f>
        <v>P1-RS4</v>
      </c>
      <c r="K5" s="630" t="str">
        <f>Worksheet!$C$19</f>
        <v>Room 104</v>
      </c>
      <c r="L5" s="631"/>
      <c r="N5" s="435" t="str">
        <f>Worksheet!$B$19</f>
        <v>P1-RS4</v>
      </c>
      <c r="O5" s="630" t="str">
        <f>Worksheet!$C$19</f>
        <v>Room 104</v>
      </c>
      <c r="P5" s="631"/>
      <c r="R5" s="435" t="e">
        <f>#REF!</f>
        <v>#REF!</v>
      </c>
      <c r="S5" s="628" t="e">
        <f>#REF!</f>
        <v>#REF!</v>
      </c>
      <c r="T5" s="629"/>
      <c r="U5" s="439"/>
      <c r="V5" s="435" t="e">
        <f>#REF!</f>
        <v>#REF!</v>
      </c>
      <c r="W5" s="628" t="e">
        <f>#REF!</f>
        <v>#REF!</v>
      </c>
      <c r="X5" s="629"/>
      <c r="Z5" s="435" t="e">
        <f>#REF!</f>
        <v>#REF!</v>
      </c>
      <c r="AA5" s="628" t="e">
        <f>#REF!</f>
        <v>#REF!</v>
      </c>
      <c r="AB5" s="629"/>
      <c r="AD5" s="435" t="e">
        <f>#REF!</f>
        <v>#REF!</v>
      </c>
      <c r="AE5" s="628" t="e">
        <f>#REF!</f>
        <v>#REF!</v>
      </c>
      <c r="AF5" s="629"/>
    </row>
    <row r="6" spans="2:32" ht="19.350000000000001" customHeight="1" x14ac:dyDescent="0.25">
      <c r="B6" s="436">
        <f>Worksheet!$F$18</f>
        <v>36.5</v>
      </c>
      <c r="C6" s="437" t="s">
        <v>4</v>
      </c>
      <c r="D6" s="438">
        <f>Worksheet!$H$18</f>
        <v>64</v>
      </c>
      <c r="E6" s="439"/>
      <c r="F6" s="436">
        <f>Worksheet!$F$19</f>
        <v>36</v>
      </c>
      <c r="G6" s="437" t="s">
        <v>4</v>
      </c>
      <c r="H6" s="438">
        <f>Worksheet!$H$19</f>
        <v>64</v>
      </c>
      <c r="J6" s="436">
        <f>Worksheet!$F$19</f>
        <v>36</v>
      </c>
      <c r="K6" s="437" t="s">
        <v>4</v>
      </c>
      <c r="L6" s="438">
        <f>Worksheet!$H$19</f>
        <v>64</v>
      </c>
      <c r="N6" s="436">
        <f>Worksheet!$F$19</f>
        <v>36</v>
      </c>
      <c r="O6" s="437" t="s">
        <v>4</v>
      </c>
      <c r="P6" s="438">
        <f>Worksheet!$H$19</f>
        <v>64</v>
      </c>
      <c r="R6" s="436" t="e">
        <f>#REF!</f>
        <v>#REF!</v>
      </c>
      <c r="S6" s="437" t="s">
        <v>4</v>
      </c>
      <c r="T6" s="438" t="e">
        <f>#REF!</f>
        <v>#REF!</v>
      </c>
      <c r="U6" s="439"/>
      <c r="V6" s="436" t="e">
        <f>#REF!</f>
        <v>#REF!</v>
      </c>
      <c r="W6" s="437" t="s">
        <v>4</v>
      </c>
      <c r="X6" s="438" t="e">
        <f>#REF!</f>
        <v>#REF!</v>
      </c>
      <c r="Z6" s="436" t="e">
        <f>#REF!</f>
        <v>#REF!</v>
      </c>
      <c r="AA6" s="437" t="s">
        <v>4</v>
      </c>
      <c r="AB6" s="438" t="e">
        <f>#REF!</f>
        <v>#REF!</v>
      </c>
      <c r="AD6" s="436" t="e">
        <f>#REF!</f>
        <v>#REF!</v>
      </c>
      <c r="AE6" s="437" t="s">
        <v>4</v>
      </c>
      <c r="AF6" s="438" t="e">
        <f>#REF!</f>
        <v>#REF!</v>
      </c>
    </row>
    <row r="7" spans="2:32" ht="19.350000000000001" customHeight="1" x14ac:dyDescent="0.25">
      <c r="B7" s="435" t="str">
        <f>Worksheet!$B$20</f>
        <v>P1-RS5</v>
      </c>
      <c r="C7" s="628" t="str">
        <f>Worksheet!$C$20</f>
        <v>Room 104</v>
      </c>
      <c r="D7" s="629"/>
      <c r="E7" s="439"/>
      <c r="F7" s="435" t="str">
        <f>Worksheet!$B$20</f>
        <v>P1-RS5</v>
      </c>
      <c r="G7" s="628" t="str">
        <f>Worksheet!$C$20</f>
        <v>Room 104</v>
      </c>
      <c r="H7" s="629"/>
      <c r="J7" s="435" t="str">
        <f>Worksheet!$B$20</f>
        <v>P1-RS5</v>
      </c>
      <c r="K7" s="628" t="str">
        <f>Worksheet!$C$20</f>
        <v>Room 104</v>
      </c>
      <c r="L7" s="629"/>
      <c r="N7" s="435" t="str">
        <f>Worksheet!$B$21</f>
        <v>P1-RS6</v>
      </c>
      <c r="O7" s="628" t="str">
        <f>Worksheet!$C$21</f>
        <v>Room 104</v>
      </c>
      <c r="P7" s="629"/>
      <c r="Q7" s="358"/>
      <c r="R7" s="435" t="e">
        <f>#REF!</f>
        <v>#REF!</v>
      </c>
      <c r="S7" s="628" t="e">
        <f>#REF!</f>
        <v>#REF!</v>
      </c>
      <c r="T7" s="629"/>
      <c r="U7" s="439"/>
      <c r="V7" s="435" t="e">
        <f>#REF!</f>
        <v>#REF!</v>
      </c>
      <c r="W7" s="628" t="e">
        <f>#REF!</f>
        <v>#REF!</v>
      </c>
      <c r="X7" s="629"/>
      <c r="Z7" s="435" t="e">
        <f>#REF!</f>
        <v>#REF!</v>
      </c>
      <c r="AA7" s="628" t="e">
        <f>#REF!</f>
        <v>#REF!</v>
      </c>
      <c r="AB7" s="629"/>
      <c r="AD7" s="435" t="e">
        <f>#REF!</f>
        <v>#REF!</v>
      </c>
      <c r="AE7" s="628" t="e">
        <f>#REF!</f>
        <v>#REF!</v>
      </c>
      <c r="AF7" s="629"/>
    </row>
    <row r="8" spans="2:32" ht="19.350000000000001" customHeight="1" x14ac:dyDescent="0.25">
      <c r="B8" s="436">
        <f>Worksheet!$F$20</f>
        <v>35.75</v>
      </c>
      <c r="C8" s="437" t="s">
        <v>4</v>
      </c>
      <c r="D8" s="438">
        <f>Worksheet!$H$20</f>
        <v>64</v>
      </c>
      <c r="E8" s="439"/>
      <c r="F8" s="436">
        <f>Worksheet!$F$20</f>
        <v>35.75</v>
      </c>
      <c r="G8" s="437" t="s">
        <v>4</v>
      </c>
      <c r="H8" s="438">
        <f>Worksheet!$H$20</f>
        <v>64</v>
      </c>
      <c r="J8" s="436">
        <f>Worksheet!$F$20</f>
        <v>35.75</v>
      </c>
      <c r="K8" s="437" t="s">
        <v>4</v>
      </c>
      <c r="L8" s="438">
        <f>Worksheet!$H$20</f>
        <v>64</v>
      </c>
      <c r="N8" s="436">
        <f>Worksheet!$F$21</f>
        <v>36</v>
      </c>
      <c r="O8" s="437" t="s">
        <v>4</v>
      </c>
      <c r="P8" s="438">
        <f>Worksheet!$H$21</f>
        <v>64</v>
      </c>
      <c r="Q8" s="358"/>
      <c r="R8" s="436" t="e">
        <f>#REF!</f>
        <v>#REF!</v>
      </c>
      <c r="S8" s="437" t="s">
        <v>4</v>
      </c>
      <c r="T8" s="438" t="e">
        <f>#REF!</f>
        <v>#REF!</v>
      </c>
      <c r="U8" s="439"/>
      <c r="V8" s="436" t="e">
        <f>#REF!</f>
        <v>#REF!</v>
      </c>
      <c r="W8" s="437" t="s">
        <v>4</v>
      </c>
      <c r="X8" s="438" t="e">
        <f>#REF!</f>
        <v>#REF!</v>
      </c>
      <c r="Z8" s="436" t="e">
        <f>#REF!</f>
        <v>#REF!</v>
      </c>
      <c r="AA8" s="437" t="s">
        <v>4</v>
      </c>
      <c r="AB8" s="438" t="e">
        <f>#REF!</f>
        <v>#REF!</v>
      </c>
      <c r="AD8" s="436" t="e">
        <f>#REF!</f>
        <v>#REF!</v>
      </c>
      <c r="AE8" s="437" t="s">
        <v>4</v>
      </c>
      <c r="AF8" s="438" t="e">
        <f>#REF!</f>
        <v>#REF!</v>
      </c>
    </row>
    <row r="9" spans="2:32" ht="19.350000000000001" customHeight="1" x14ac:dyDescent="0.25">
      <c r="B9" s="435" t="str">
        <f>Worksheet!$B$21</f>
        <v>P1-RS6</v>
      </c>
      <c r="C9" s="628" t="str">
        <f>Worksheet!$C$21</f>
        <v>Room 104</v>
      </c>
      <c r="D9" s="629"/>
      <c r="E9" s="439"/>
      <c r="F9" s="435" t="str">
        <f>Worksheet!$B$21</f>
        <v>P1-RS6</v>
      </c>
      <c r="G9" s="628" t="str">
        <f>Worksheet!$C$21</f>
        <v>Room 104</v>
      </c>
      <c r="H9" s="629"/>
      <c r="J9" s="435" t="str">
        <f>Worksheet!$B$22</f>
        <v>P1-RS7</v>
      </c>
      <c r="K9" s="628" t="str">
        <f>Worksheet!$C$22</f>
        <v>Room 105</v>
      </c>
      <c r="L9" s="629"/>
      <c r="N9" s="435" t="str">
        <f>Worksheet!$B$22</f>
        <v>P1-RS7</v>
      </c>
      <c r="O9" s="628" t="str">
        <f>Worksheet!$C$22</f>
        <v>Room 105</v>
      </c>
      <c r="P9" s="629"/>
      <c r="R9" s="435" t="e">
        <f>#REF!</f>
        <v>#REF!</v>
      </c>
      <c r="S9" s="628" t="e">
        <f>#REF!</f>
        <v>#REF!</v>
      </c>
      <c r="T9" s="629"/>
      <c r="U9" s="439"/>
      <c r="V9" s="435" t="e">
        <f>#REF!</f>
        <v>#REF!</v>
      </c>
      <c r="W9" s="628" t="e">
        <f>#REF!</f>
        <v>#REF!</v>
      </c>
      <c r="X9" s="629"/>
      <c r="Z9" s="435" t="e">
        <f>#REF!</f>
        <v>#REF!</v>
      </c>
      <c r="AA9" s="628" t="e">
        <f>#REF!</f>
        <v>#REF!</v>
      </c>
      <c r="AB9" s="629"/>
      <c r="AD9" s="435" t="e">
        <f>#REF!</f>
        <v>#REF!</v>
      </c>
      <c r="AE9" s="628" t="e">
        <f>#REF!</f>
        <v>#REF!</v>
      </c>
      <c r="AF9" s="629"/>
    </row>
    <row r="10" spans="2:32" ht="19.350000000000001" customHeight="1" x14ac:dyDescent="0.25">
      <c r="B10" s="436">
        <f>Worksheet!$F$21</f>
        <v>36</v>
      </c>
      <c r="C10" s="437" t="s">
        <v>4</v>
      </c>
      <c r="D10" s="438">
        <f>Worksheet!$H$21</f>
        <v>64</v>
      </c>
      <c r="E10" s="439"/>
      <c r="F10" s="436">
        <f>Worksheet!$F$21</f>
        <v>36</v>
      </c>
      <c r="G10" s="437" t="s">
        <v>4</v>
      </c>
      <c r="H10" s="438">
        <f>Worksheet!$H$21</f>
        <v>64</v>
      </c>
      <c r="J10" s="436">
        <f>Worksheet!$F$22</f>
        <v>36.25</v>
      </c>
      <c r="K10" s="437" t="s">
        <v>4</v>
      </c>
      <c r="L10" s="438">
        <f>Worksheet!$H$22</f>
        <v>64</v>
      </c>
      <c r="N10" s="436">
        <f>Worksheet!$F$22</f>
        <v>36.25</v>
      </c>
      <c r="O10" s="437" t="s">
        <v>4</v>
      </c>
      <c r="P10" s="438">
        <f>Worksheet!$H$22</f>
        <v>64</v>
      </c>
      <c r="R10" s="436" t="e">
        <f>#REF!</f>
        <v>#REF!</v>
      </c>
      <c r="S10" s="437" t="s">
        <v>4</v>
      </c>
      <c r="T10" s="438" t="e">
        <f>#REF!</f>
        <v>#REF!</v>
      </c>
      <c r="U10" s="439"/>
      <c r="V10" s="436" t="e">
        <f>#REF!</f>
        <v>#REF!</v>
      </c>
      <c r="W10" s="437" t="s">
        <v>4</v>
      </c>
      <c r="X10" s="438" t="e">
        <f>#REF!</f>
        <v>#REF!</v>
      </c>
      <c r="Z10" s="436" t="e">
        <f>#REF!</f>
        <v>#REF!</v>
      </c>
      <c r="AA10" s="437" t="s">
        <v>4</v>
      </c>
      <c r="AB10" s="438" t="e">
        <f>#REF!</f>
        <v>#REF!</v>
      </c>
      <c r="AD10" s="436" t="e">
        <f>#REF!</f>
        <v>#REF!</v>
      </c>
      <c r="AE10" s="437" t="s">
        <v>4</v>
      </c>
      <c r="AF10" s="438" t="e">
        <f>#REF!</f>
        <v>#REF!</v>
      </c>
    </row>
    <row r="11" spans="2:32" ht="19.350000000000001" customHeight="1" x14ac:dyDescent="0.25">
      <c r="B11" s="435" t="str">
        <f>Worksheet!$B$22</f>
        <v>P1-RS7</v>
      </c>
      <c r="C11" s="628" t="str">
        <f>Worksheet!$C$22</f>
        <v>Room 105</v>
      </c>
      <c r="D11" s="629"/>
      <c r="E11" s="439"/>
      <c r="F11" s="435" t="str">
        <f>Worksheet!$B$23</f>
        <v>P1-RS8</v>
      </c>
      <c r="G11" s="628">
        <f>Worksheet!$C$23</f>
        <v>0</v>
      </c>
      <c r="H11" s="629"/>
      <c r="J11" s="435" t="str">
        <f>Worksheet!$B$23</f>
        <v>P1-RS8</v>
      </c>
      <c r="K11" s="628">
        <f>Worksheet!$C$23</f>
        <v>0</v>
      </c>
      <c r="L11" s="629"/>
      <c r="N11" s="435" t="str">
        <f>Worksheet!$B$23</f>
        <v>P1-RS8</v>
      </c>
      <c r="O11" s="628">
        <f>Worksheet!$C$23</f>
        <v>0</v>
      </c>
      <c r="P11" s="629"/>
      <c r="R11" s="435" t="e">
        <f>#REF!</f>
        <v>#REF!</v>
      </c>
      <c r="S11" s="628" t="e">
        <f>#REF!</f>
        <v>#REF!</v>
      </c>
      <c r="T11" s="629"/>
      <c r="U11" s="439"/>
      <c r="V11" s="435" t="e">
        <f>#REF!</f>
        <v>#REF!</v>
      </c>
      <c r="W11" s="632" t="e">
        <f>#REF!</f>
        <v>#REF!</v>
      </c>
      <c r="X11" s="633"/>
      <c r="Z11" s="435" t="e">
        <f>#REF!</f>
        <v>#REF!</v>
      </c>
      <c r="AA11" s="632" t="e">
        <f>#REF!</f>
        <v>#REF!</v>
      </c>
      <c r="AB11" s="633"/>
      <c r="AD11" s="435" t="e">
        <f>#REF!</f>
        <v>#REF!</v>
      </c>
      <c r="AE11" s="632" t="e">
        <f>#REF!</f>
        <v>#REF!</v>
      </c>
      <c r="AF11" s="633"/>
    </row>
    <row r="12" spans="2:32" ht="19.350000000000001" customHeight="1" x14ac:dyDescent="0.25">
      <c r="B12" s="436">
        <f>Worksheet!$F$22</f>
        <v>36.25</v>
      </c>
      <c r="C12" s="437" t="s">
        <v>4</v>
      </c>
      <c r="D12" s="438">
        <f>Worksheet!$H$22</f>
        <v>64</v>
      </c>
      <c r="E12" s="439"/>
      <c r="F12" s="436">
        <f>Worksheet!$F$23</f>
        <v>0</v>
      </c>
      <c r="G12" s="437" t="s">
        <v>4</v>
      </c>
      <c r="H12" s="438">
        <f>Worksheet!$H$23</f>
        <v>0</v>
      </c>
      <c r="J12" s="436">
        <f>Worksheet!$F$23</f>
        <v>0</v>
      </c>
      <c r="K12" s="437" t="s">
        <v>4</v>
      </c>
      <c r="L12" s="438">
        <f>Worksheet!$H$23</f>
        <v>0</v>
      </c>
      <c r="N12" s="436">
        <f>Worksheet!$F$23</f>
        <v>0</v>
      </c>
      <c r="O12" s="437" t="s">
        <v>4</v>
      </c>
      <c r="P12" s="438">
        <f>Worksheet!$H$23</f>
        <v>0</v>
      </c>
      <c r="R12" s="436" t="e">
        <f>#REF!</f>
        <v>#REF!</v>
      </c>
      <c r="S12" s="437" t="s">
        <v>4</v>
      </c>
      <c r="T12" s="438" t="e">
        <f>#REF!</f>
        <v>#REF!</v>
      </c>
      <c r="U12" s="439"/>
      <c r="V12" s="436" t="e">
        <f>#REF!</f>
        <v>#REF!</v>
      </c>
      <c r="W12" s="437" t="s">
        <v>4</v>
      </c>
      <c r="X12" s="438" t="e">
        <f>#REF!</f>
        <v>#REF!</v>
      </c>
      <c r="Z12" s="436" t="e">
        <f>#REF!</f>
        <v>#REF!</v>
      </c>
      <c r="AA12" s="437" t="s">
        <v>4</v>
      </c>
      <c r="AB12" s="438" t="e">
        <f>#REF!</f>
        <v>#REF!</v>
      </c>
      <c r="AD12" s="436" t="e">
        <f>#REF!</f>
        <v>#REF!</v>
      </c>
      <c r="AE12" s="437" t="s">
        <v>4</v>
      </c>
      <c r="AF12" s="438" t="e">
        <f>#REF!</f>
        <v>#REF!</v>
      </c>
    </row>
    <row r="13" spans="2:32" ht="18.600000000000001" customHeight="1" x14ac:dyDescent="0.25">
      <c r="B13" s="435" t="str">
        <f>Worksheet!$B$24</f>
        <v>P1-RS9</v>
      </c>
      <c r="C13" s="628">
        <f>Worksheet!$C$24</f>
        <v>0</v>
      </c>
      <c r="D13" s="629"/>
      <c r="E13" s="439"/>
      <c r="F13" s="435" t="str">
        <f>Worksheet!$B$24</f>
        <v>P1-RS9</v>
      </c>
      <c r="G13" s="628">
        <f>Worksheet!$C$24</f>
        <v>0</v>
      </c>
      <c r="H13" s="629"/>
      <c r="J13" s="435" t="str">
        <f>Worksheet!$B$24</f>
        <v>P1-RS9</v>
      </c>
      <c r="K13" s="628">
        <f>Worksheet!$C$24</f>
        <v>0</v>
      </c>
      <c r="L13" s="629"/>
      <c r="N13" s="435" t="str">
        <f>Worksheet!$B$25</f>
        <v>P1-RS10</v>
      </c>
      <c r="O13" s="628">
        <f>Worksheet!$C$25</f>
        <v>0</v>
      </c>
      <c r="P13" s="629"/>
      <c r="R13" s="435" t="e">
        <f>#REF!</f>
        <v>#REF!</v>
      </c>
      <c r="S13" s="628" t="e">
        <f>#REF!</f>
        <v>#REF!</v>
      </c>
      <c r="T13" s="629"/>
      <c r="U13" s="439"/>
      <c r="V13" s="435" t="e">
        <f>#REF!</f>
        <v>#REF!</v>
      </c>
      <c r="W13" s="628" t="e">
        <f>#REF!</f>
        <v>#REF!</v>
      </c>
      <c r="X13" s="629"/>
      <c r="Z13" s="435" t="e">
        <f>#REF!</f>
        <v>#REF!</v>
      </c>
      <c r="AA13" s="628" t="e">
        <f>#REF!</f>
        <v>#REF!</v>
      </c>
      <c r="AB13" s="629"/>
      <c r="AD13" s="435" t="e">
        <f>#REF!</f>
        <v>#REF!</v>
      </c>
      <c r="AE13" s="628" t="e">
        <f>#REF!</f>
        <v>#REF!</v>
      </c>
      <c r="AF13" s="629"/>
    </row>
    <row r="14" spans="2:32" ht="18.600000000000001" customHeight="1" x14ac:dyDescent="0.25">
      <c r="B14" s="436">
        <f>Worksheet!$F$24</f>
        <v>0</v>
      </c>
      <c r="C14" s="437" t="s">
        <v>4</v>
      </c>
      <c r="D14" s="438">
        <f>Worksheet!$H$24</f>
        <v>0</v>
      </c>
      <c r="E14" s="439"/>
      <c r="F14" s="436">
        <f>Worksheet!$F$24</f>
        <v>0</v>
      </c>
      <c r="G14" s="437" t="s">
        <v>4</v>
      </c>
      <c r="H14" s="438">
        <f>Worksheet!$H$24</f>
        <v>0</v>
      </c>
      <c r="J14" s="436">
        <f>Worksheet!$F$24</f>
        <v>0</v>
      </c>
      <c r="K14" s="437" t="s">
        <v>4</v>
      </c>
      <c r="L14" s="438">
        <f>Worksheet!$H$24</f>
        <v>0</v>
      </c>
      <c r="N14" s="436">
        <f>Worksheet!$F$25</f>
        <v>0</v>
      </c>
      <c r="O14" s="437" t="s">
        <v>4</v>
      </c>
      <c r="P14" s="438">
        <f>Worksheet!$H$25</f>
        <v>0</v>
      </c>
      <c r="R14" s="436" t="e">
        <f>#REF!</f>
        <v>#REF!</v>
      </c>
      <c r="S14" s="437" t="s">
        <v>4</v>
      </c>
      <c r="T14" s="438" t="e">
        <f>#REF!</f>
        <v>#REF!</v>
      </c>
      <c r="U14" s="439"/>
      <c r="V14" s="436" t="e">
        <f>#REF!</f>
        <v>#REF!</v>
      </c>
      <c r="W14" s="437" t="s">
        <v>4</v>
      </c>
      <c r="X14" s="438" t="e">
        <f>#REF!</f>
        <v>#REF!</v>
      </c>
      <c r="Z14" s="436" t="e">
        <f>#REF!</f>
        <v>#REF!</v>
      </c>
      <c r="AA14" s="437" t="s">
        <v>4</v>
      </c>
      <c r="AB14" s="438" t="e">
        <f>#REF!</f>
        <v>#REF!</v>
      </c>
      <c r="AD14" s="436" t="e">
        <f>#REF!</f>
        <v>#REF!</v>
      </c>
      <c r="AE14" s="437" t="s">
        <v>4</v>
      </c>
      <c r="AF14" s="438" t="e">
        <f>#REF!</f>
        <v>#REF!</v>
      </c>
    </row>
    <row r="15" spans="2:32" ht="19.350000000000001" customHeight="1" x14ac:dyDescent="0.25">
      <c r="B15" s="435" t="str">
        <f>Worksheet!$B$25</f>
        <v>P1-RS10</v>
      </c>
      <c r="C15" s="628">
        <f>Worksheet!$C$25</f>
        <v>0</v>
      </c>
      <c r="D15" s="629"/>
      <c r="E15" s="439"/>
      <c r="F15" s="435" t="str">
        <f>Worksheet!$B$25</f>
        <v>P1-RS10</v>
      </c>
      <c r="G15" s="628">
        <f>Worksheet!$C$25</f>
        <v>0</v>
      </c>
      <c r="H15" s="629"/>
      <c r="J15" s="435" t="str">
        <f>Worksheet!$B$26</f>
        <v>P1-RS11</v>
      </c>
      <c r="K15" s="628">
        <f>Worksheet!$C$26</f>
        <v>0</v>
      </c>
      <c r="L15" s="629"/>
      <c r="N15" s="435" t="str">
        <f>Worksheet!$B$26</f>
        <v>P1-RS11</v>
      </c>
      <c r="O15" s="628">
        <f>Worksheet!$C$26</f>
        <v>0</v>
      </c>
      <c r="P15" s="629"/>
      <c r="R15" s="435" t="e">
        <f>#REF!</f>
        <v>#REF!</v>
      </c>
      <c r="S15" s="628" t="e">
        <f>#REF!</f>
        <v>#REF!</v>
      </c>
      <c r="T15" s="629"/>
      <c r="U15" s="439"/>
      <c r="V15" s="435" t="e">
        <f>#REF!</f>
        <v>#REF!</v>
      </c>
      <c r="W15" s="628" t="e">
        <f>#REF!</f>
        <v>#REF!</v>
      </c>
      <c r="X15" s="629"/>
      <c r="Z15" s="435" t="e">
        <f>#REF!</f>
        <v>#REF!</v>
      </c>
      <c r="AA15" s="628" t="e">
        <f>#REF!</f>
        <v>#REF!</v>
      </c>
      <c r="AB15" s="629"/>
      <c r="AD15" s="435" t="e">
        <f>#REF!</f>
        <v>#REF!</v>
      </c>
      <c r="AE15" s="628" t="e">
        <f>#REF!</f>
        <v>#REF!</v>
      </c>
      <c r="AF15" s="629"/>
    </row>
    <row r="16" spans="2:32" ht="19.350000000000001" customHeight="1" x14ac:dyDescent="0.25">
      <c r="B16" s="436">
        <f>Worksheet!$F$25</f>
        <v>0</v>
      </c>
      <c r="C16" s="437" t="s">
        <v>4</v>
      </c>
      <c r="D16" s="438">
        <f>Worksheet!$H$25</f>
        <v>0</v>
      </c>
      <c r="E16" s="439"/>
      <c r="F16" s="436">
        <f>Worksheet!$F$25</f>
        <v>0</v>
      </c>
      <c r="G16" s="437" t="s">
        <v>4</v>
      </c>
      <c r="H16" s="438">
        <f>Worksheet!$H$25</f>
        <v>0</v>
      </c>
      <c r="J16" s="436">
        <f>Worksheet!$F$26</f>
        <v>0</v>
      </c>
      <c r="K16" s="437" t="s">
        <v>4</v>
      </c>
      <c r="L16" s="438">
        <f>Worksheet!$H$26</f>
        <v>0</v>
      </c>
      <c r="N16" s="436">
        <f>Worksheet!$F$26</f>
        <v>0</v>
      </c>
      <c r="O16" s="437" t="s">
        <v>4</v>
      </c>
      <c r="P16" s="438">
        <f>Worksheet!$H$26</f>
        <v>0</v>
      </c>
      <c r="R16" s="436" t="e">
        <f>#REF!</f>
        <v>#REF!</v>
      </c>
      <c r="S16" s="437" t="s">
        <v>4</v>
      </c>
      <c r="T16" s="438" t="e">
        <f>#REF!</f>
        <v>#REF!</v>
      </c>
      <c r="U16" s="439"/>
      <c r="V16" s="436" t="e">
        <f>#REF!</f>
        <v>#REF!</v>
      </c>
      <c r="W16" s="437" t="s">
        <v>4</v>
      </c>
      <c r="X16" s="438" t="e">
        <f>#REF!</f>
        <v>#REF!</v>
      </c>
      <c r="Z16" s="436" t="e">
        <f>#REF!</f>
        <v>#REF!</v>
      </c>
      <c r="AA16" s="437" t="s">
        <v>4</v>
      </c>
      <c r="AB16" s="438" t="e">
        <f>#REF!</f>
        <v>#REF!</v>
      </c>
      <c r="AD16" s="436" t="e">
        <f>#REF!</f>
        <v>#REF!</v>
      </c>
      <c r="AE16" s="437" t="s">
        <v>4</v>
      </c>
      <c r="AF16" s="438" t="e">
        <f>#REF!</f>
        <v>#REF!</v>
      </c>
    </row>
    <row r="17" spans="2:32" ht="19.350000000000001" customHeight="1" x14ac:dyDescent="0.25">
      <c r="B17" s="435" t="str">
        <f>Worksheet!$B$26</f>
        <v>P1-RS11</v>
      </c>
      <c r="C17" s="628">
        <f>Worksheet!$C$26</f>
        <v>0</v>
      </c>
      <c r="D17" s="629"/>
      <c r="E17" s="439"/>
      <c r="F17" s="442" t="str">
        <f>Worksheet!$B$27</f>
        <v>P1-RS12</v>
      </c>
      <c r="G17" s="628">
        <f>Worksheet!$C$27</f>
        <v>0</v>
      </c>
      <c r="H17" s="629"/>
      <c r="J17" s="442" t="str">
        <f>Worksheet!$B$27</f>
        <v>P1-RS12</v>
      </c>
      <c r="K17" s="628">
        <f>Worksheet!$C$27</f>
        <v>0</v>
      </c>
      <c r="L17" s="629"/>
      <c r="N17" s="442" t="str">
        <f>Worksheet!$B$27</f>
        <v>P1-RS12</v>
      </c>
      <c r="O17" s="628">
        <f>Worksheet!$C$27</f>
        <v>0</v>
      </c>
      <c r="P17" s="629"/>
      <c r="R17" s="435" t="e">
        <f>#REF!</f>
        <v>#REF!</v>
      </c>
      <c r="S17" s="628" t="e">
        <f>#REF!</f>
        <v>#REF!</v>
      </c>
      <c r="T17" s="629"/>
      <c r="U17" s="439"/>
      <c r="V17" s="435" t="e">
        <f>#REF!</f>
        <v>#REF!</v>
      </c>
      <c r="W17" s="628" t="e">
        <f>#REF!</f>
        <v>#REF!</v>
      </c>
      <c r="X17" s="629"/>
      <c r="Z17" s="435" t="e">
        <f>#REF!</f>
        <v>#REF!</v>
      </c>
      <c r="AA17" s="628" t="e">
        <f>#REF!</f>
        <v>#REF!</v>
      </c>
      <c r="AB17" s="629"/>
      <c r="AD17" s="435" t="e">
        <f>#REF!</f>
        <v>#REF!</v>
      </c>
      <c r="AE17" s="628" t="e">
        <f>#REF!</f>
        <v>#REF!</v>
      </c>
      <c r="AF17" s="629"/>
    </row>
    <row r="18" spans="2:32" ht="19.350000000000001" customHeight="1" x14ac:dyDescent="0.25">
      <c r="B18" s="436">
        <f>Worksheet!$F$26</f>
        <v>0</v>
      </c>
      <c r="C18" s="437" t="s">
        <v>4</v>
      </c>
      <c r="D18" s="438">
        <f>Worksheet!$H$26</f>
        <v>0</v>
      </c>
      <c r="E18" s="439"/>
      <c r="F18" s="436">
        <f>Worksheet!$F$27</f>
        <v>0</v>
      </c>
      <c r="G18" s="437" t="s">
        <v>4</v>
      </c>
      <c r="H18" s="438">
        <f>Worksheet!$H$27</f>
        <v>0</v>
      </c>
      <c r="J18" s="436">
        <f>Worksheet!$F$27</f>
        <v>0</v>
      </c>
      <c r="K18" s="437" t="s">
        <v>4</v>
      </c>
      <c r="L18" s="438">
        <f>Worksheet!$H$27</f>
        <v>0</v>
      </c>
      <c r="N18" s="436">
        <f>Worksheet!$F$27</f>
        <v>0</v>
      </c>
      <c r="O18" s="437" t="s">
        <v>4</v>
      </c>
      <c r="P18" s="438">
        <f>Worksheet!$H$27</f>
        <v>0</v>
      </c>
      <c r="R18" s="436" t="e">
        <f>#REF!</f>
        <v>#REF!</v>
      </c>
      <c r="S18" s="437" t="s">
        <v>4</v>
      </c>
      <c r="T18" s="438" t="e">
        <f>#REF!</f>
        <v>#REF!</v>
      </c>
      <c r="U18" s="439"/>
      <c r="V18" s="436" t="e">
        <f>#REF!</f>
        <v>#REF!</v>
      </c>
      <c r="W18" s="437" t="s">
        <v>4</v>
      </c>
      <c r="X18" s="438" t="e">
        <f>#REF!</f>
        <v>#REF!</v>
      </c>
      <c r="Z18" s="436" t="e">
        <f>#REF!</f>
        <v>#REF!</v>
      </c>
      <c r="AA18" s="437" t="s">
        <v>4</v>
      </c>
      <c r="AB18" s="438" t="e">
        <f>#REF!</f>
        <v>#REF!</v>
      </c>
      <c r="AD18" s="436" t="e">
        <f>#REF!</f>
        <v>#REF!</v>
      </c>
      <c r="AE18" s="437" t="s">
        <v>4</v>
      </c>
      <c r="AF18" s="438" t="e">
        <f>#REF!</f>
        <v>#REF!</v>
      </c>
    </row>
    <row r="19" spans="2:32" ht="19.350000000000001" customHeight="1" x14ac:dyDescent="0.25">
      <c r="B19" s="435" t="str">
        <f>Worksheet!$B$28</f>
        <v>P1-RS13</v>
      </c>
      <c r="C19" s="628">
        <f>Worksheet!$C$28</f>
        <v>0</v>
      </c>
      <c r="D19" s="629"/>
      <c r="E19" s="439"/>
      <c r="F19" s="435" t="str">
        <f>Worksheet!$B$28</f>
        <v>P1-RS13</v>
      </c>
      <c r="G19" s="628">
        <f>Worksheet!$C$28</f>
        <v>0</v>
      </c>
      <c r="H19" s="629"/>
      <c r="J19" s="435" t="str">
        <f>Worksheet!$B$28</f>
        <v>P1-RS13</v>
      </c>
      <c r="K19" s="628">
        <f>Worksheet!$C$28</f>
        <v>0</v>
      </c>
      <c r="L19" s="629"/>
      <c r="N19" s="435" t="str">
        <f>Worksheet!$B$29</f>
        <v>P1-RS14</v>
      </c>
      <c r="O19" s="628">
        <f>Worksheet!$C$29</f>
        <v>0</v>
      </c>
      <c r="P19" s="629"/>
      <c r="R19" s="435" t="e">
        <f>#REF!</f>
        <v>#REF!</v>
      </c>
      <c r="S19" s="628" t="e">
        <f>#REF!</f>
        <v>#REF!</v>
      </c>
      <c r="T19" s="629"/>
      <c r="U19" s="439"/>
      <c r="V19" s="435" t="e">
        <f>#REF!</f>
        <v>#REF!</v>
      </c>
      <c r="W19" s="628" t="e">
        <f>#REF!</f>
        <v>#REF!</v>
      </c>
      <c r="X19" s="629"/>
      <c r="Z19" s="435" t="e">
        <f>#REF!</f>
        <v>#REF!</v>
      </c>
      <c r="AA19" s="628" t="e">
        <f>#REF!</f>
        <v>#REF!</v>
      </c>
      <c r="AB19" s="629"/>
      <c r="AD19" s="435" t="e">
        <f>#REF!</f>
        <v>#REF!</v>
      </c>
      <c r="AE19" s="628" t="e">
        <f>#REF!</f>
        <v>#REF!</v>
      </c>
      <c r="AF19" s="629"/>
    </row>
    <row r="20" spans="2:32" ht="19.350000000000001" customHeight="1" x14ac:dyDescent="0.25">
      <c r="B20" s="436">
        <f>Worksheet!$F$28</f>
        <v>0</v>
      </c>
      <c r="C20" s="437" t="s">
        <v>4</v>
      </c>
      <c r="D20" s="438">
        <f>Worksheet!$H$28</f>
        <v>0</v>
      </c>
      <c r="E20" s="439"/>
      <c r="F20" s="436">
        <f>Worksheet!$F$28</f>
        <v>0</v>
      </c>
      <c r="G20" s="437" t="s">
        <v>4</v>
      </c>
      <c r="H20" s="438">
        <f>Worksheet!$H$28</f>
        <v>0</v>
      </c>
      <c r="J20" s="436">
        <f>Worksheet!$F$28</f>
        <v>0</v>
      </c>
      <c r="K20" s="437" t="s">
        <v>4</v>
      </c>
      <c r="L20" s="438">
        <f>Worksheet!$H$28</f>
        <v>0</v>
      </c>
      <c r="N20" s="436">
        <f>Worksheet!$F$29</f>
        <v>0</v>
      </c>
      <c r="O20" s="437" t="s">
        <v>4</v>
      </c>
      <c r="P20" s="438">
        <f>Worksheet!$H$29</f>
        <v>0</v>
      </c>
      <c r="R20" s="436" t="e">
        <f>#REF!</f>
        <v>#REF!</v>
      </c>
      <c r="S20" s="437" t="s">
        <v>4</v>
      </c>
      <c r="T20" s="438" t="e">
        <f>#REF!</f>
        <v>#REF!</v>
      </c>
      <c r="U20" s="439"/>
      <c r="V20" s="436" t="e">
        <f>#REF!</f>
        <v>#REF!</v>
      </c>
      <c r="W20" s="437" t="s">
        <v>4</v>
      </c>
      <c r="X20" s="438" t="e">
        <f>#REF!</f>
        <v>#REF!</v>
      </c>
      <c r="Z20" s="436" t="e">
        <f>#REF!</f>
        <v>#REF!</v>
      </c>
      <c r="AA20" s="437" t="s">
        <v>4</v>
      </c>
      <c r="AB20" s="438" t="e">
        <f>#REF!</f>
        <v>#REF!</v>
      </c>
      <c r="AD20" s="436" t="e">
        <f>#REF!</f>
        <v>#REF!</v>
      </c>
      <c r="AE20" s="437" t="s">
        <v>4</v>
      </c>
      <c r="AF20" s="438" t="e">
        <f>#REF!</f>
        <v>#REF!</v>
      </c>
    </row>
    <row r="21" spans="2:32" ht="18.600000000000001" customHeight="1" x14ac:dyDescent="0.25">
      <c r="B21" s="435" t="str">
        <f>Worksheet!$B$29</f>
        <v>P1-RS14</v>
      </c>
      <c r="C21" s="628">
        <f>Worksheet!$C$29</f>
        <v>0</v>
      </c>
      <c r="D21" s="629"/>
      <c r="E21" s="439"/>
      <c r="F21" s="435" t="str">
        <f>Worksheet!$B$29</f>
        <v>P1-RS14</v>
      </c>
      <c r="G21" s="628">
        <f>Worksheet!$C$29</f>
        <v>0</v>
      </c>
      <c r="H21" s="629"/>
      <c r="J21" s="435" t="str">
        <f>Worksheet!$B$30</f>
        <v>P1-RS15</v>
      </c>
      <c r="K21" s="628">
        <f>Worksheet!$C$30</f>
        <v>0</v>
      </c>
      <c r="L21" s="629"/>
      <c r="N21" s="435" t="str">
        <f>Worksheet!$B$30</f>
        <v>P1-RS15</v>
      </c>
      <c r="O21" s="628">
        <f>Worksheet!$C$30</f>
        <v>0</v>
      </c>
      <c r="P21" s="629"/>
      <c r="R21" s="435" t="e">
        <f>#REF!</f>
        <v>#REF!</v>
      </c>
      <c r="S21" s="628" t="e">
        <f>#REF!</f>
        <v>#REF!</v>
      </c>
      <c r="T21" s="629"/>
      <c r="U21" s="439"/>
      <c r="V21" s="435" t="e">
        <f>#REF!</f>
        <v>#REF!</v>
      </c>
      <c r="W21" s="628" t="e">
        <f>#REF!</f>
        <v>#REF!</v>
      </c>
      <c r="X21" s="629"/>
      <c r="Z21" s="435" t="e">
        <f>#REF!</f>
        <v>#REF!</v>
      </c>
      <c r="AA21" s="628" t="e">
        <f>#REF!</f>
        <v>#REF!</v>
      </c>
      <c r="AB21" s="629"/>
      <c r="AD21" s="435" t="e">
        <f>#REF!</f>
        <v>#REF!</v>
      </c>
      <c r="AE21" s="628" t="e">
        <f>#REF!</f>
        <v>#REF!</v>
      </c>
      <c r="AF21" s="629"/>
    </row>
    <row r="22" spans="2:32" ht="18.600000000000001" customHeight="1" x14ac:dyDescent="0.25">
      <c r="B22" s="436">
        <f>Worksheet!$F$29</f>
        <v>0</v>
      </c>
      <c r="C22" s="437" t="s">
        <v>4</v>
      </c>
      <c r="D22" s="438">
        <f>Worksheet!$H$29</f>
        <v>0</v>
      </c>
      <c r="E22" s="439"/>
      <c r="F22" s="436">
        <f>Worksheet!$F$29</f>
        <v>0</v>
      </c>
      <c r="G22" s="437" t="s">
        <v>4</v>
      </c>
      <c r="H22" s="438">
        <f>Worksheet!$H$29</f>
        <v>0</v>
      </c>
      <c r="J22" s="436">
        <f>Worksheet!$F$30</f>
        <v>0</v>
      </c>
      <c r="K22" s="437" t="s">
        <v>4</v>
      </c>
      <c r="L22" s="438">
        <f>Worksheet!$H$30</f>
        <v>0</v>
      </c>
      <c r="N22" s="436">
        <f>Worksheet!$F$30</f>
        <v>0</v>
      </c>
      <c r="O22" s="437" t="s">
        <v>4</v>
      </c>
      <c r="P22" s="438">
        <f>Worksheet!$H$30</f>
        <v>0</v>
      </c>
      <c r="R22" s="436" t="e">
        <f>#REF!</f>
        <v>#REF!</v>
      </c>
      <c r="S22" s="437" t="s">
        <v>4</v>
      </c>
      <c r="T22" s="438" t="e">
        <f>#REF!</f>
        <v>#REF!</v>
      </c>
      <c r="U22" s="439"/>
      <c r="V22" s="436" t="e">
        <f>#REF!</f>
        <v>#REF!</v>
      </c>
      <c r="W22" s="437" t="s">
        <v>4</v>
      </c>
      <c r="X22" s="438" t="e">
        <f>#REF!</f>
        <v>#REF!</v>
      </c>
      <c r="Z22" s="436" t="e">
        <f>#REF!</f>
        <v>#REF!</v>
      </c>
      <c r="AA22" s="437" t="s">
        <v>4</v>
      </c>
      <c r="AB22" s="438" t="e">
        <f>#REF!</f>
        <v>#REF!</v>
      </c>
      <c r="AD22" s="436" t="e">
        <f>#REF!</f>
        <v>#REF!</v>
      </c>
      <c r="AE22" s="437" t="s">
        <v>4</v>
      </c>
      <c r="AF22" s="438" t="e">
        <f>#REF!</f>
        <v>#REF!</v>
      </c>
    </row>
    <row r="23" spans="2:32" ht="18.600000000000001" customHeight="1" x14ac:dyDescent="0.25">
      <c r="B23" s="435" t="str">
        <f>Worksheet!$B$30</f>
        <v>P1-RS15</v>
      </c>
      <c r="C23" s="628">
        <f>Worksheet!$C$30</f>
        <v>0</v>
      </c>
      <c r="D23" s="629"/>
      <c r="E23" s="439"/>
      <c r="F23" s="435" t="str">
        <f>Worksheet!$B$31</f>
        <v>P1-RS16</v>
      </c>
      <c r="G23" s="628">
        <f>Worksheet!$C$31</f>
        <v>0</v>
      </c>
      <c r="H23" s="629"/>
      <c r="J23" s="435" t="str">
        <f>Worksheet!$B$31</f>
        <v>P1-RS16</v>
      </c>
      <c r="K23" s="628">
        <f>Worksheet!$C$31</f>
        <v>0</v>
      </c>
      <c r="L23" s="629"/>
      <c r="N23" s="435" t="str">
        <f>Worksheet!$B$31</f>
        <v>P1-RS16</v>
      </c>
      <c r="O23" s="628">
        <f>Worksheet!$C$31</f>
        <v>0</v>
      </c>
      <c r="P23" s="629"/>
      <c r="R23" s="435" t="e">
        <f>#REF!</f>
        <v>#REF!</v>
      </c>
      <c r="S23" s="628" t="e">
        <f>#REF!</f>
        <v>#REF!</v>
      </c>
      <c r="T23" s="629"/>
      <c r="U23" s="439"/>
      <c r="V23" s="435" t="e">
        <f>#REF!</f>
        <v>#REF!</v>
      </c>
      <c r="W23" s="628" t="e">
        <f>#REF!</f>
        <v>#REF!</v>
      </c>
      <c r="X23" s="629"/>
      <c r="Z23" s="435" t="e">
        <f>#REF!</f>
        <v>#REF!</v>
      </c>
      <c r="AA23" s="628" t="e">
        <f>#REF!</f>
        <v>#REF!</v>
      </c>
      <c r="AB23" s="629"/>
      <c r="AD23" s="435" t="e">
        <f>#REF!</f>
        <v>#REF!</v>
      </c>
      <c r="AE23" s="628" t="e">
        <f>#REF!</f>
        <v>#REF!</v>
      </c>
      <c r="AF23" s="629"/>
    </row>
    <row r="24" spans="2:32" ht="18.600000000000001" customHeight="1" x14ac:dyDescent="0.25">
      <c r="B24" s="436">
        <f>Worksheet!$F$30</f>
        <v>0</v>
      </c>
      <c r="C24" s="437" t="s">
        <v>4</v>
      </c>
      <c r="D24" s="438">
        <f>Worksheet!$H$30</f>
        <v>0</v>
      </c>
      <c r="E24" s="439"/>
      <c r="F24" s="436">
        <f>Worksheet!$F$31</f>
        <v>0</v>
      </c>
      <c r="G24" s="437" t="s">
        <v>4</v>
      </c>
      <c r="H24" s="438">
        <f>Worksheet!$H$31</f>
        <v>0</v>
      </c>
      <c r="J24" s="436">
        <f>Worksheet!$F$31</f>
        <v>0</v>
      </c>
      <c r="K24" s="437" t="s">
        <v>4</v>
      </c>
      <c r="L24" s="438">
        <f>Worksheet!$H$31</f>
        <v>0</v>
      </c>
      <c r="N24" s="436">
        <f>Worksheet!$F$31</f>
        <v>0</v>
      </c>
      <c r="O24" s="437" t="s">
        <v>4</v>
      </c>
      <c r="P24" s="438">
        <f>Worksheet!$H$31</f>
        <v>0</v>
      </c>
      <c r="R24" s="440" t="e">
        <f>#REF!</f>
        <v>#REF!</v>
      </c>
      <c r="S24" s="439" t="s">
        <v>4</v>
      </c>
      <c r="T24" s="441" t="e">
        <f>#REF!</f>
        <v>#REF!</v>
      </c>
      <c r="U24" s="439"/>
      <c r="V24" s="440" t="e">
        <f>#REF!</f>
        <v>#REF!</v>
      </c>
      <c r="W24" s="439" t="s">
        <v>4</v>
      </c>
      <c r="X24" s="441" t="e">
        <f>#REF!</f>
        <v>#REF!</v>
      </c>
      <c r="Z24" s="440" t="e">
        <f>#REF!</f>
        <v>#REF!</v>
      </c>
      <c r="AA24" s="439" t="s">
        <v>4</v>
      </c>
      <c r="AB24" s="441" t="e">
        <f>#REF!</f>
        <v>#REF!</v>
      </c>
      <c r="AD24" s="440" t="e">
        <f>#REF!</f>
        <v>#REF!</v>
      </c>
      <c r="AE24" s="439" t="s">
        <v>4</v>
      </c>
      <c r="AF24" s="441" t="e">
        <f>#REF!</f>
        <v>#REF!</v>
      </c>
    </row>
    <row r="25" spans="2:32" ht="19.350000000000001" customHeight="1" x14ac:dyDescent="0.25">
      <c r="B25" s="435" t="str">
        <f>Worksheet!$B$32</f>
        <v>P1-RS17</v>
      </c>
      <c r="C25" s="628">
        <f>Worksheet!$C$32</f>
        <v>0</v>
      </c>
      <c r="D25" s="629"/>
      <c r="E25" s="439"/>
      <c r="F25" s="435" t="str">
        <f>Worksheet!$B$32</f>
        <v>P1-RS17</v>
      </c>
      <c r="G25" s="628">
        <f>Worksheet!$C$32</f>
        <v>0</v>
      </c>
      <c r="H25" s="629"/>
      <c r="J25" s="435" t="str">
        <f>Worksheet!$B$32</f>
        <v>P1-RS17</v>
      </c>
      <c r="K25" s="628">
        <f>Worksheet!$C$32</f>
        <v>0</v>
      </c>
      <c r="L25" s="629"/>
      <c r="N25" s="435" t="str">
        <f>Worksheet!$B$33</f>
        <v>P1-RS18</v>
      </c>
      <c r="O25" s="628">
        <f>Worksheet!$C$33</f>
        <v>0</v>
      </c>
      <c r="P25" s="629"/>
      <c r="R25" s="435" t="e">
        <f>#REF!</f>
        <v>#REF!</v>
      </c>
      <c r="S25" s="628" t="e">
        <f>#REF!</f>
        <v>#REF!</v>
      </c>
      <c r="T25" s="629"/>
      <c r="U25" s="439"/>
      <c r="V25" s="435" t="e">
        <f>#REF!</f>
        <v>#REF!</v>
      </c>
      <c r="W25" s="628" t="e">
        <f>#REF!</f>
        <v>#REF!</v>
      </c>
      <c r="X25" s="629"/>
      <c r="Z25" s="435" t="e">
        <f>#REF!</f>
        <v>#REF!</v>
      </c>
      <c r="AA25" s="628" t="e">
        <f>#REF!</f>
        <v>#REF!</v>
      </c>
      <c r="AB25" s="629"/>
      <c r="AD25" s="435" t="e">
        <f>#REF!</f>
        <v>#REF!</v>
      </c>
      <c r="AE25" s="628" t="e">
        <f>#REF!</f>
        <v>#REF!</v>
      </c>
      <c r="AF25" s="629"/>
    </row>
    <row r="26" spans="2:32" ht="19.350000000000001" customHeight="1" x14ac:dyDescent="0.25">
      <c r="B26" s="436">
        <f>Worksheet!$F$32</f>
        <v>0</v>
      </c>
      <c r="C26" s="437" t="s">
        <v>4</v>
      </c>
      <c r="D26" s="438">
        <f>Worksheet!$H$32</f>
        <v>0</v>
      </c>
      <c r="E26" s="439"/>
      <c r="F26" s="436">
        <f>Worksheet!$F$32</f>
        <v>0</v>
      </c>
      <c r="G26" s="437" t="s">
        <v>4</v>
      </c>
      <c r="H26" s="438">
        <f>Worksheet!$H$32</f>
        <v>0</v>
      </c>
      <c r="J26" s="436">
        <f>Worksheet!$F$32</f>
        <v>0</v>
      </c>
      <c r="K26" s="437" t="s">
        <v>4</v>
      </c>
      <c r="L26" s="438">
        <f>Worksheet!$H$32</f>
        <v>0</v>
      </c>
      <c r="N26" s="436">
        <f>Worksheet!$F$33</f>
        <v>0</v>
      </c>
      <c r="O26" s="437" t="s">
        <v>4</v>
      </c>
      <c r="P26" s="438">
        <f>Worksheet!$H$33</f>
        <v>0</v>
      </c>
      <c r="R26" s="436" t="e">
        <f>#REF!</f>
        <v>#REF!</v>
      </c>
      <c r="S26" s="437" t="s">
        <v>4</v>
      </c>
      <c r="T26" s="438" t="e">
        <f>#REF!</f>
        <v>#REF!</v>
      </c>
      <c r="U26" s="439"/>
      <c r="V26" s="436" t="e">
        <f>#REF!</f>
        <v>#REF!</v>
      </c>
      <c r="W26" s="437" t="s">
        <v>4</v>
      </c>
      <c r="X26" s="438" t="e">
        <f>#REF!</f>
        <v>#REF!</v>
      </c>
      <c r="Z26" s="436" t="e">
        <f>#REF!</f>
        <v>#REF!</v>
      </c>
      <c r="AA26" s="437" t="s">
        <v>4</v>
      </c>
      <c r="AB26" s="438" t="e">
        <f>#REF!</f>
        <v>#REF!</v>
      </c>
      <c r="AD26" s="436" t="e">
        <f>#REF!</f>
        <v>#REF!</v>
      </c>
      <c r="AE26" s="437" t="s">
        <v>4</v>
      </c>
      <c r="AF26" s="438" t="e">
        <f>#REF!</f>
        <v>#REF!</v>
      </c>
    </row>
    <row r="27" spans="2:32" ht="19.350000000000001" customHeight="1" x14ac:dyDescent="0.25">
      <c r="B27" s="435" t="str">
        <f>Worksheet!$B$33</f>
        <v>P1-RS18</v>
      </c>
      <c r="C27" s="628">
        <f>Worksheet!$C$33</f>
        <v>0</v>
      </c>
      <c r="D27" s="629"/>
      <c r="E27" s="439"/>
      <c r="F27" s="435" t="str">
        <f>Worksheet!$B$33</f>
        <v>P1-RS18</v>
      </c>
      <c r="G27" s="628">
        <f>Worksheet!$C$33</f>
        <v>0</v>
      </c>
      <c r="H27" s="629"/>
      <c r="J27" s="435" t="str">
        <f>Worksheet!$B$34</f>
        <v>P1-RS19</v>
      </c>
      <c r="K27" s="628">
        <f>Worksheet!$C$34</f>
        <v>0</v>
      </c>
      <c r="L27" s="629"/>
      <c r="N27" s="435" t="str">
        <f>Worksheet!$B$34</f>
        <v>P1-RS19</v>
      </c>
      <c r="O27" s="628">
        <f>Worksheet!$C$34</f>
        <v>0</v>
      </c>
      <c r="P27" s="629"/>
      <c r="R27" s="435" t="e">
        <f>#REF!</f>
        <v>#REF!</v>
      </c>
      <c r="S27" s="628" t="e">
        <f>#REF!</f>
        <v>#REF!</v>
      </c>
      <c r="T27" s="629"/>
      <c r="U27" s="439"/>
      <c r="V27" s="435" t="e">
        <f>#REF!</f>
        <v>#REF!</v>
      </c>
      <c r="W27" s="628" t="e">
        <f>#REF!</f>
        <v>#REF!</v>
      </c>
      <c r="X27" s="629"/>
      <c r="Z27" s="435" t="e">
        <f>#REF!</f>
        <v>#REF!</v>
      </c>
      <c r="AA27" s="628" t="e">
        <f>#REF!</f>
        <v>#REF!</v>
      </c>
      <c r="AB27" s="629"/>
      <c r="AD27" s="435" t="e">
        <f>#REF!</f>
        <v>#REF!</v>
      </c>
      <c r="AE27" s="628" t="e">
        <f>#REF!</f>
        <v>#REF!</v>
      </c>
      <c r="AF27" s="629"/>
    </row>
    <row r="28" spans="2:32" ht="19.350000000000001" customHeight="1" x14ac:dyDescent="0.25">
      <c r="B28" s="436">
        <f>Worksheet!$F$33</f>
        <v>0</v>
      </c>
      <c r="C28" s="437" t="s">
        <v>4</v>
      </c>
      <c r="D28" s="438">
        <f>Worksheet!$H$33</f>
        <v>0</v>
      </c>
      <c r="E28" s="439"/>
      <c r="F28" s="436">
        <f>Worksheet!$F$33</f>
        <v>0</v>
      </c>
      <c r="G28" s="437" t="s">
        <v>4</v>
      </c>
      <c r="H28" s="438">
        <f>Worksheet!$H$33</f>
        <v>0</v>
      </c>
      <c r="J28" s="436">
        <f>Worksheet!$F$34</f>
        <v>0</v>
      </c>
      <c r="K28" s="437" t="s">
        <v>4</v>
      </c>
      <c r="L28" s="438">
        <f>Worksheet!$H$34</f>
        <v>0</v>
      </c>
      <c r="N28" s="436">
        <f>Worksheet!$F$34</f>
        <v>0</v>
      </c>
      <c r="O28" s="437" t="s">
        <v>4</v>
      </c>
      <c r="P28" s="438">
        <f>Worksheet!$H$34</f>
        <v>0</v>
      </c>
      <c r="R28" s="436" t="e">
        <f>#REF!</f>
        <v>#REF!</v>
      </c>
      <c r="S28" s="437" t="s">
        <v>4</v>
      </c>
      <c r="T28" s="438" t="e">
        <f>#REF!</f>
        <v>#REF!</v>
      </c>
      <c r="U28" s="439"/>
      <c r="V28" s="436" t="e">
        <f>#REF!</f>
        <v>#REF!</v>
      </c>
      <c r="W28" s="437" t="s">
        <v>4</v>
      </c>
      <c r="X28" s="438" t="e">
        <f>#REF!</f>
        <v>#REF!</v>
      </c>
      <c r="Z28" s="436" t="e">
        <f>#REF!</f>
        <v>#REF!</v>
      </c>
      <c r="AA28" s="437" t="s">
        <v>4</v>
      </c>
      <c r="AB28" s="438" t="e">
        <f>#REF!</f>
        <v>#REF!</v>
      </c>
      <c r="AD28" s="436" t="e">
        <f>#REF!</f>
        <v>#REF!</v>
      </c>
      <c r="AE28" s="437" t="s">
        <v>4</v>
      </c>
      <c r="AF28" s="438" t="e">
        <f>#REF!</f>
        <v>#REF!</v>
      </c>
    </row>
    <row r="29" spans="2:32" ht="19.350000000000001" customHeight="1" x14ac:dyDescent="0.25">
      <c r="B29" s="435" t="str">
        <f>Worksheet!$B$34</f>
        <v>P1-RS19</v>
      </c>
      <c r="C29" s="628">
        <f>Worksheet!$C$34</f>
        <v>0</v>
      </c>
      <c r="D29" s="629"/>
      <c r="E29" s="439"/>
      <c r="F29" s="442" t="str">
        <f>Worksheet!$B$35</f>
        <v>P1-RS20</v>
      </c>
      <c r="G29" s="628">
        <f>Worksheet!$C$35</f>
        <v>0</v>
      </c>
      <c r="H29" s="629"/>
      <c r="J29" s="442" t="str">
        <f>Worksheet!$B$35</f>
        <v>P1-RS20</v>
      </c>
      <c r="K29" s="628">
        <f>Worksheet!$C$35</f>
        <v>0</v>
      </c>
      <c r="L29" s="629"/>
      <c r="N29" s="442" t="str">
        <f>Worksheet!$B$35</f>
        <v>P1-RS20</v>
      </c>
      <c r="O29" s="628">
        <f>Worksheet!$C$35</f>
        <v>0</v>
      </c>
      <c r="P29" s="629"/>
      <c r="R29" s="435" t="e">
        <f>#REF!</f>
        <v>#REF!</v>
      </c>
      <c r="S29" s="628" t="e">
        <f>#REF!</f>
        <v>#REF!</v>
      </c>
      <c r="T29" s="629"/>
      <c r="U29" s="439"/>
      <c r="V29" s="435" t="e">
        <f>#REF!</f>
        <v>#REF!</v>
      </c>
      <c r="W29" s="628" t="e">
        <f>#REF!</f>
        <v>#REF!</v>
      </c>
      <c r="X29" s="629"/>
      <c r="Z29" s="435" t="e">
        <f>#REF!</f>
        <v>#REF!</v>
      </c>
      <c r="AA29" s="628" t="e">
        <f>#REF!</f>
        <v>#REF!</v>
      </c>
      <c r="AB29" s="629"/>
      <c r="AD29" s="435" t="e">
        <f>#REF!</f>
        <v>#REF!</v>
      </c>
      <c r="AE29" s="628" t="e">
        <f>#REF!</f>
        <v>#REF!</v>
      </c>
      <c r="AF29" s="629"/>
    </row>
    <row r="30" spans="2:32" ht="19.350000000000001" customHeight="1" x14ac:dyDescent="0.25">
      <c r="B30" s="436">
        <f>Worksheet!$F$34</f>
        <v>0</v>
      </c>
      <c r="C30" s="437" t="s">
        <v>4</v>
      </c>
      <c r="D30" s="438">
        <f>Worksheet!$H$34</f>
        <v>0</v>
      </c>
      <c r="E30" s="439"/>
      <c r="F30" s="436">
        <f>Worksheet!$F$35</f>
        <v>0</v>
      </c>
      <c r="G30" s="437" t="s">
        <v>4</v>
      </c>
      <c r="H30" s="438">
        <f>Worksheet!$H$35</f>
        <v>0</v>
      </c>
      <c r="J30" s="436">
        <f>Worksheet!$F$35</f>
        <v>0</v>
      </c>
      <c r="K30" s="437" t="s">
        <v>4</v>
      </c>
      <c r="L30" s="438">
        <f>Worksheet!$H$35</f>
        <v>0</v>
      </c>
      <c r="N30" s="436">
        <f>Worksheet!$F$35</f>
        <v>0</v>
      </c>
      <c r="O30" s="437" t="s">
        <v>4</v>
      </c>
      <c r="P30" s="438">
        <f>Worksheet!$H$35</f>
        <v>0</v>
      </c>
      <c r="R30" s="436" t="e">
        <f>#REF!</f>
        <v>#REF!</v>
      </c>
      <c r="S30" s="437" t="s">
        <v>4</v>
      </c>
      <c r="T30" s="438" t="e">
        <f>#REF!</f>
        <v>#REF!</v>
      </c>
      <c r="U30" s="439"/>
      <c r="V30" s="436" t="e">
        <f>#REF!</f>
        <v>#REF!</v>
      </c>
      <c r="W30" s="437" t="s">
        <v>4</v>
      </c>
      <c r="X30" s="438" t="e">
        <f>#REF!</f>
        <v>#REF!</v>
      </c>
      <c r="Z30" s="436" t="e">
        <f>#REF!</f>
        <v>#REF!</v>
      </c>
      <c r="AA30" s="437" t="s">
        <v>4</v>
      </c>
      <c r="AB30" s="438" t="e">
        <f>#REF!</f>
        <v>#REF!</v>
      </c>
      <c r="AD30" s="436" t="e">
        <f>#REF!</f>
        <v>#REF!</v>
      </c>
      <c r="AE30" s="437" t="s">
        <v>4</v>
      </c>
      <c r="AF30" s="438" t="e">
        <f>#REF!</f>
        <v>#REF!</v>
      </c>
    </row>
    <row r="31" spans="2:32" ht="19.350000000000001" customHeight="1" x14ac:dyDescent="0.25">
      <c r="B31" s="435" t="str">
        <f>Worksheet!$B$36</f>
        <v>P1-RS21</v>
      </c>
      <c r="C31" s="628">
        <f>Worksheet!$C$36</f>
        <v>0</v>
      </c>
      <c r="D31" s="629"/>
      <c r="E31" s="439"/>
      <c r="F31" s="435" t="str">
        <f>Worksheet!$B$36</f>
        <v>P1-RS21</v>
      </c>
      <c r="G31" s="628">
        <f>Worksheet!$C$36</f>
        <v>0</v>
      </c>
      <c r="H31" s="629"/>
      <c r="J31" s="435" t="str">
        <f>Worksheet!$B$36</f>
        <v>P1-RS21</v>
      </c>
      <c r="K31" s="628">
        <f>Worksheet!$C$36</f>
        <v>0</v>
      </c>
      <c r="L31" s="629"/>
      <c r="N31" s="435" t="str">
        <f>Worksheet!$B$37</f>
        <v>P1-RS22</v>
      </c>
      <c r="O31" s="628">
        <f>Worksheet!$C$37</f>
        <v>0</v>
      </c>
      <c r="P31" s="629"/>
      <c r="R31" s="435" t="e">
        <f>#REF!</f>
        <v>#REF!</v>
      </c>
      <c r="S31" s="628" t="e">
        <f>#REF!</f>
        <v>#REF!</v>
      </c>
      <c r="T31" s="629"/>
      <c r="U31" s="439"/>
      <c r="V31" s="435" t="e">
        <f>#REF!</f>
        <v>#REF!</v>
      </c>
      <c r="W31" s="628" t="e">
        <f>#REF!</f>
        <v>#REF!</v>
      </c>
      <c r="X31" s="629"/>
      <c r="Z31" s="435" t="e">
        <f>#REF!</f>
        <v>#REF!</v>
      </c>
      <c r="AA31" s="628" t="e">
        <f>#REF!</f>
        <v>#REF!</v>
      </c>
      <c r="AB31" s="629"/>
      <c r="AD31" s="435" t="e">
        <f>#REF!</f>
        <v>#REF!</v>
      </c>
      <c r="AE31" s="628" t="e">
        <f>#REF!</f>
        <v>#REF!</v>
      </c>
      <c r="AF31" s="629"/>
    </row>
    <row r="32" spans="2:32" ht="19.350000000000001" customHeight="1" x14ac:dyDescent="0.25">
      <c r="B32" s="436">
        <f>Worksheet!$F$36</f>
        <v>0</v>
      </c>
      <c r="C32" s="437" t="s">
        <v>4</v>
      </c>
      <c r="D32" s="438">
        <f>Worksheet!$H$36</f>
        <v>0</v>
      </c>
      <c r="E32" s="439"/>
      <c r="F32" s="436">
        <f>Worksheet!$F$36</f>
        <v>0</v>
      </c>
      <c r="G32" s="437" t="s">
        <v>4</v>
      </c>
      <c r="H32" s="438">
        <f>Worksheet!$H$36</f>
        <v>0</v>
      </c>
      <c r="J32" s="436">
        <f>Worksheet!$F$36</f>
        <v>0</v>
      </c>
      <c r="K32" s="437" t="s">
        <v>4</v>
      </c>
      <c r="L32" s="438">
        <f>Worksheet!$H$36</f>
        <v>0</v>
      </c>
      <c r="N32" s="436">
        <f>Worksheet!$F$37</f>
        <v>0</v>
      </c>
      <c r="O32" s="437" t="s">
        <v>4</v>
      </c>
      <c r="P32" s="438">
        <f>Worksheet!$H$37</f>
        <v>0</v>
      </c>
      <c r="R32" s="436" t="e">
        <f>#REF!</f>
        <v>#REF!</v>
      </c>
      <c r="S32" s="437" t="s">
        <v>4</v>
      </c>
      <c r="T32" s="438" t="e">
        <f>#REF!</f>
        <v>#REF!</v>
      </c>
      <c r="U32" s="439"/>
      <c r="V32" s="436" t="e">
        <f>#REF!</f>
        <v>#REF!</v>
      </c>
      <c r="W32" s="437" t="s">
        <v>4</v>
      </c>
      <c r="X32" s="438" t="e">
        <f>#REF!</f>
        <v>#REF!</v>
      </c>
      <c r="Z32" s="436" t="e">
        <f>#REF!</f>
        <v>#REF!</v>
      </c>
      <c r="AA32" s="437" t="s">
        <v>4</v>
      </c>
      <c r="AB32" s="438" t="e">
        <f>#REF!</f>
        <v>#REF!</v>
      </c>
      <c r="AD32" s="436" t="e">
        <f>#REF!</f>
        <v>#REF!</v>
      </c>
      <c r="AE32" s="437" t="s">
        <v>4</v>
      </c>
      <c r="AF32" s="438" t="e">
        <f>#REF!</f>
        <v>#REF!</v>
      </c>
    </row>
    <row r="33" spans="2:32" ht="19.350000000000001" customHeight="1" x14ac:dyDescent="0.25">
      <c r="B33" s="435" t="str">
        <f>Worksheet!$B$37</f>
        <v>P1-RS22</v>
      </c>
      <c r="C33" s="628">
        <f>Worksheet!$C$37</f>
        <v>0</v>
      </c>
      <c r="D33" s="629"/>
      <c r="E33" s="439"/>
      <c r="F33" s="435" t="str">
        <f>Worksheet!$B$37</f>
        <v>P1-RS22</v>
      </c>
      <c r="G33" s="628">
        <f>Worksheet!$C$37</f>
        <v>0</v>
      </c>
      <c r="H33" s="629"/>
      <c r="J33" s="435" t="str">
        <f>Worksheet!$B$38</f>
        <v>P1-RS23</v>
      </c>
      <c r="K33" s="628">
        <f>Worksheet!$C$38</f>
        <v>0</v>
      </c>
      <c r="L33" s="629"/>
      <c r="N33" s="435" t="str">
        <f>Worksheet!$B$38</f>
        <v>P1-RS23</v>
      </c>
      <c r="O33" s="628">
        <f>Worksheet!$C$38</f>
        <v>0</v>
      </c>
      <c r="P33" s="629"/>
      <c r="R33" s="435" t="e">
        <f>#REF!</f>
        <v>#REF!</v>
      </c>
      <c r="S33" s="628" t="e">
        <f>#REF!</f>
        <v>#REF!</v>
      </c>
      <c r="T33" s="629"/>
      <c r="U33" s="439"/>
      <c r="V33" s="435" t="e">
        <f>#REF!</f>
        <v>#REF!</v>
      </c>
      <c r="W33" s="628" t="e">
        <f>#REF!</f>
        <v>#REF!</v>
      </c>
      <c r="X33" s="629"/>
      <c r="Z33" s="435" t="e">
        <f>#REF!</f>
        <v>#REF!</v>
      </c>
      <c r="AA33" s="628" t="e">
        <f>#REF!</f>
        <v>#REF!</v>
      </c>
      <c r="AB33" s="629"/>
      <c r="AD33" s="435" t="e">
        <f>#REF!</f>
        <v>#REF!</v>
      </c>
      <c r="AE33" s="628" t="e">
        <f>#REF!</f>
        <v>#REF!</v>
      </c>
      <c r="AF33" s="629"/>
    </row>
    <row r="34" spans="2:32" ht="19.350000000000001" customHeight="1" x14ac:dyDescent="0.25">
      <c r="B34" s="436">
        <f>Worksheet!$F$37</f>
        <v>0</v>
      </c>
      <c r="C34" s="437" t="s">
        <v>4</v>
      </c>
      <c r="D34" s="438">
        <f>Worksheet!$H$37</f>
        <v>0</v>
      </c>
      <c r="E34" s="439"/>
      <c r="F34" s="436">
        <f>Worksheet!$F$37</f>
        <v>0</v>
      </c>
      <c r="G34" s="437" t="s">
        <v>4</v>
      </c>
      <c r="H34" s="438">
        <f>Worksheet!$H$37</f>
        <v>0</v>
      </c>
      <c r="J34" s="436">
        <f>Worksheet!$F$38</f>
        <v>0</v>
      </c>
      <c r="K34" s="437" t="s">
        <v>4</v>
      </c>
      <c r="L34" s="438">
        <f>Worksheet!$H$38</f>
        <v>0</v>
      </c>
      <c r="N34" s="436">
        <f>Worksheet!$F$38</f>
        <v>0</v>
      </c>
      <c r="O34" s="437" t="s">
        <v>4</v>
      </c>
      <c r="P34" s="438">
        <f>Worksheet!$H$38</f>
        <v>0</v>
      </c>
      <c r="R34" s="436" t="e">
        <f>#REF!</f>
        <v>#REF!</v>
      </c>
      <c r="S34" s="437" t="s">
        <v>4</v>
      </c>
      <c r="T34" s="438" t="e">
        <f>#REF!</f>
        <v>#REF!</v>
      </c>
      <c r="U34" s="439"/>
      <c r="V34" s="436" t="e">
        <f>#REF!</f>
        <v>#REF!</v>
      </c>
      <c r="W34" s="437" t="s">
        <v>4</v>
      </c>
      <c r="X34" s="438" t="e">
        <f>#REF!</f>
        <v>#REF!</v>
      </c>
      <c r="Z34" s="436" t="e">
        <f>#REF!</f>
        <v>#REF!</v>
      </c>
      <c r="AA34" s="437" t="s">
        <v>4</v>
      </c>
      <c r="AB34" s="438" t="e">
        <f>#REF!</f>
        <v>#REF!</v>
      </c>
      <c r="AD34" s="436" t="e">
        <f>#REF!</f>
        <v>#REF!</v>
      </c>
      <c r="AE34" s="437" t="s">
        <v>4</v>
      </c>
      <c r="AF34" s="438" t="e">
        <f>#REF!</f>
        <v>#REF!</v>
      </c>
    </row>
    <row r="35" spans="2:32" ht="19.350000000000001" customHeight="1" x14ac:dyDescent="0.25">
      <c r="B35" s="435" t="str">
        <f>Worksheet!$B$38</f>
        <v>P1-RS23</v>
      </c>
      <c r="C35" s="628">
        <f>Worksheet!$C$38</f>
        <v>0</v>
      </c>
      <c r="D35" s="629"/>
      <c r="E35" s="439"/>
      <c r="F35" s="442" t="str">
        <f>Worksheet!$B$39</f>
        <v>P1-RS24</v>
      </c>
      <c r="G35" s="628">
        <f>Worksheet!$C$39</f>
        <v>0</v>
      </c>
      <c r="H35" s="629"/>
      <c r="J35" s="435" t="str">
        <f>Worksheet!$B$39</f>
        <v>P1-RS24</v>
      </c>
      <c r="K35" s="628">
        <f>Worksheet!$C$39</f>
        <v>0</v>
      </c>
      <c r="L35" s="629"/>
      <c r="N35" s="435" t="str">
        <f>Worksheet!$B$39</f>
        <v>P1-RS24</v>
      </c>
      <c r="O35" s="628">
        <f>Worksheet!$C$39</f>
        <v>0</v>
      </c>
      <c r="P35" s="629"/>
      <c r="R35" s="435" t="e">
        <f>#REF!</f>
        <v>#REF!</v>
      </c>
      <c r="S35" s="628" t="e">
        <f>#REF!</f>
        <v>#REF!</v>
      </c>
      <c r="T35" s="629"/>
      <c r="U35" s="439"/>
      <c r="V35" s="435" t="e">
        <f>#REF!</f>
        <v>#REF!</v>
      </c>
      <c r="W35" s="628" t="e">
        <f>#REF!</f>
        <v>#REF!</v>
      </c>
      <c r="X35" s="629"/>
      <c r="Z35" s="435" t="e">
        <f>#REF!</f>
        <v>#REF!</v>
      </c>
      <c r="AA35" s="628" t="e">
        <f>#REF!</f>
        <v>#REF!</v>
      </c>
      <c r="AB35" s="629"/>
      <c r="AD35" s="435" t="e">
        <f>#REF!</f>
        <v>#REF!</v>
      </c>
      <c r="AE35" s="628" t="e">
        <f>#REF!</f>
        <v>#REF!</v>
      </c>
      <c r="AF35" s="629"/>
    </row>
    <row r="36" spans="2:32" ht="19.350000000000001" customHeight="1" x14ac:dyDescent="0.25">
      <c r="B36" s="436">
        <f>Worksheet!$F$38</f>
        <v>0</v>
      </c>
      <c r="C36" s="437" t="s">
        <v>4</v>
      </c>
      <c r="D36" s="438">
        <f>Worksheet!$H$38</f>
        <v>0</v>
      </c>
      <c r="E36" s="439"/>
      <c r="F36" s="436">
        <f>Worksheet!$F$39</f>
        <v>0</v>
      </c>
      <c r="G36" s="437" t="s">
        <v>4</v>
      </c>
      <c r="H36" s="438">
        <f>Worksheet!$H$39</f>
        <v>0</v>
      </c>
      <c r="J36" s="436">
        <f>Worksheet!$F$39</f>
        <v>0</v>
      </c>
      <c r="K36" s="437" t="s">
        <v>4</v>
      </c>
      <c r="L36" s="438">
        <f>Worksheet!$H$39</f>
        <v>0</v>
      </c>
      <c r="N36" s="436">
        <f>Worksheet!$F$39</f>
        <v>0</v>
      </c>
      <c r="O36" s="437" t="s">
        <v>4</v>
      </c>
      <c r="P36" s="438">
        <f>Worksheet!$H$39</f>
        <v>0</v>
      </c>
      <c r="R36" s="436" t="e">
        <f>#REF!</f>
        <v>#REF!</v>
      </c>
      <c r="S36" s="437" t="s">
        <v>4</v>
      </c>
      <c r="T36" s="438" t="e">
        <f>#REF!</f>
        <v>#REF!</v>
      </c>
      <c r="U36" s="439"/>
      <c r="V36" s="436" t="e">
        <f>#REF!</f>
        <v>#REF!</v>
      </c>
      <c r="W36" s="437" t="s">
        <v>4</v>
      </c>
      <c r="X36" s="438" t="e">
        <f>#REF!</f>
        <v>#REF!</v>
      </c>
      <c r="Z36" s="436" t="e">
        <f>#REF!</f>
        <v>#REF!</v>
      </c>
      <c r="AA36" s="437" t="s">
        <v>4</v>
      </c>
      <c r="AB36" s="438" t="e">
        <f>#REF!</f>
        <v>#REF!</v>
      </c>
      <c r="AD36" s="436" t="e">
        <f>#REF!</f>
        <v>#REF!</v>
      </c>
      <c r="AE36" s="437" t="s">
        <v>4</v>
      </c>
      <c r="AF36" s="438" t="e">
        <f>#REF!</f>
        <v>#REF!</v>
      </c>
    </row>
    <row r="37" spans="2:32" ht="19.350000000000001" customHeight="1" x14ac:dyDescent="0.25">
      <c r="B37" s="435" t="str">
        <f>Worksheet!$B$40</f>
        <v>P1-RS25</v>
      </c>
      <c r="C37" s="628">
        <f>Worksheet!$C$40</f>
        <v>0</v>
      </c>
      <c r="D37" s="629"/>
      <c r="E37" s="439"/>
      <c r="F37" s="435" t="str">
        <f>Worksheet!$B$40</f>
        <v>P1-RS25</v>
      </c>
      <c r="G37" s="628">
        <f>Worksheet!$C$40</f>
        <v>0</v>
      </c>
      <c r="H37" s="629"/>
      <c r="J37" s="435" t="str">
        <f>Worksheet!$B$40</f>
        <v>P1-RS25</v>
      </c>
      <c r="K37" s="628">
        <f>Worksheet!$C$40</f>
        <v>0</v>
      </c>
      <c r="L37" s="629"/>
      <c r="P37" s="358"/>
      <c r="R37" s="435" t="e">
        <f>#REF!</f>
        <v>#REF!</v>
      </c>
      <c r="S37" s="628" t="e">
        <f>#REF!</f>
        <v>#REF!</v>
      </c>
      <c r="T37" s="629"/>
      <c r="U37" s="439"/>
      <c r="V37" s="435" t="e">
        <f>#REF!</f>
        <v>#REF!</v>
      </c>
      <c r="W37" s="628" t="e">
        <f>#REF!</f>
        <v>#REF!</v>
      </c>
      <c r="X37" s="629"/>
      <c r="Z37" s="435" t="e">
        <f>#REF!</f>
        <v>#REF!</v>
      </c>
      <c r="AA37" s="628" t="e">
        <f>#REF!</f>
        <v>#REF!</v>
      </c>
      <c r="AB37" s="629"/>
      <c r="AF37" s="358"/>
    </row>
    <row r="38" spans="2:32" ht="19.350000000000001" customHeight="1" x14ac:dyDescent="0.25">
      <c r="B38" s="436">
        <f>Worksheet!$F$40</f>
        <v>0</v>
      </c>
      <c r="C38" s="437" t="s">
        <v>4</v>
      </c>
      <c r="D38" s="438">
        <f>Worksheet!$H$40</f>
        <v>0</v>
      </c>
      <c r="E38" s="439"/>
      <c r="F38" s="436">
        <f>Worksheet!$F$40</f>
        <v>0</v>
      </c>
      <c r="G38" s="437" t="s">
        <v>4</v>
      </c>
      <c r="H38" s="438">
        <f>Worksheet!$H$40</f>
        <v>0</v>
      </c>
      <c r="J38" s="436">
        <f>Worksheet!$F$40</f>
        <v>0</v>
      </c>
      <c r="K38" s="437" t="s">
        <v>4</v>
      </c>
      <c r="L38" s="438">
        <f>Worksheet!$H$40</f>
        <v>0</v>
      </c>
      <c r="N38" s="439"/>
      <c r="O38" s="439"/>
      <c r="P38" s="439"/>
      <c r="R38" s="436" t="e">
        <f>#REF!</f>
        <v>#REF!</v>
      </c>
      <c r="S38" s="437" t="s">
        <v>4</v>
      </c>
      <c r="T38" s="438" t="e">
        <f>#REF!</f>
        <v>#REF!</v>
      </c>
      <c r="U38" s="439"/>
      <c r="V38" s="436" t="e">
        <f>#REF!</f>
        <v>#REF!</v>
      </c>
      <c r="W38" s="437" t="s">
        <v>4</v>
      </c>
      <c r="X38" s="438" t="e">
        <f>#REF!</f>
        <v>#REF!</v>
      </c>
      <c r="Z38" s="436" t="e">
        <f>#REF!</f>
        <v>#REF!</v>
      </c>
      <c r="AA38" s="437" t="s">
        <v>4</v>
      </c>
      <c r="AB38" s="438" t="e">
        <f>#REF!</f>
        <v>#REF!</v>
      </c>
      <c r="AD38" s="439"/>
      <c r="AE38" s="439"/>
      <c r="AF38" s="439"/>
    </row>
    <row r="39" spans="2:32" ht="19.350000000000001" customHeight="1" x14ac:dyDescent="0.25">
      <c r="B39" s="443"/>
      <c r="C39" s="439"/>
      <c r="D39" s="443"/>
      <c r="E39" s="439"/>
      <c r="F39" s="443"/>
      <c r="G39" s="439"/>
      <c r="H39" s="443"/>
      <c r="J39" s="443"/>
      <c r="K39" s="439"/>
      <c r="L39" s="443"/>
      <c r="N39" s="443"/>
      <c r="O39" s="439"/>
      <c r="P39" s="444"/>
      <c r="R39" s="443"/>
      <c r="S39" s="439"/>
      <c r="T39" s="443"/>
      <c r="U39" s="439"/>
      <c r="V39" s="443"/>
      <c r="W39" s="439"/>
      <c r="X39" s="443"/>
      <c r="Z39" s="443"/>
      <c r="AA39" s="439"/>
      <c r="AB39" s="443"/>
      <c r="AD39" s="443"/>
      <c r="AE39" s="439"/>
      <c r="AF39" s="444"/>
    </row>
    <row r="40" spans="2:32" ht="18.600000000000001" customHeight="1" x14ac:dyDescent="0.25">
      <c r="B40" s="443"/>
      <c r="C40" s="439"/>
      <c r="D40" s="443"/>
      <c r="E40" s="439"/>
      <c r="F40" s="443"/>
      <c r="G40" s="439"/>
      <c r="H40" s="443"/>
      <c r="J40" s="443"/>
      <c r="K40" s="439"/>
      <c r="L40" s="443"/>
      <c r="N40" s="443"/>
      <c r="O40" s="439"/>
      <c r="P40" s="444"/>
      <c r="R40" s="443"/>
      <c r="S40" s="439"/>
      <c r="T40" s="443"/>
      <c r="U40" s="439"/>
      <c r="V40" s="443"/>
      <c r="W40" s="439"/>
      <c r="X40" s="443"/>
      <c r="Z40" s="443"/>
      <c r="AA40" s="439"/>
      <c r="AB40" s="443"/>
      <c r="AD40" s="443"/>
      <c r="AE40" s="439"/>
      <c r="AF40" s="444"/>
    </row>
    <row r="41" spans="2:32" ht="18" customHeight="1" x14ac:dyDescent="0.25">
      <c r="B41" s="443"/>
      <c r="C41" s="439"/>
      <c r="D41" s="443"/>
      <c r="E41" s="439"/>
      <c r="F41" s="443"/>
      <c r="G41" s="439"/>
      <c r="H41" s="443"/>
      <c r="J41" s="443"/>
      <c r="K41" s="445"/>
      <c r="L41" s="443"/>
      <c r="N41" s="443"/>
      <c r="O41" s="439"/>
      <c r="P41" s="444"/>
      <c r="R41" s="443"/>
      <c r="S41" s="439"/>
      <c r="T41" s="443"/>
      <c r="U41" s="439"/>
      <c r="V41" s="443"/>
      <c r="W41" s="439"/>
      <c r="X41" s="443"/>
      <c r="Z41" s="443"/>
      <c r="AA41" s="439"/>
      <c r="AB41" s="443"/>
      <c r="AD41" s="443"/>
      <c r="AE41" s="439"/>
      <c r="AF41" s="444"/>
    </row>
    <row r="42" spans="2:32" ht="18" customHeight="1" x14ac:dyDescent="0.25">
      <c r="B42" s="443"/>
      <c r="C42" s="439"/>
      <c r="D42" s="443"/>
      <c r="E42" s="439"/>
      <c r="F42" s="443"/>
      <c r="G42" s="439"/>
      <c r="H42" s="443"/>
      <c r="J42" s="443"/>
      <c r="K42" s="439"/>
      <c r="L42" s="443"/>
      <c r="N42" s="443"/>
      <c r="O42" s="439"/>
      <c r="P42" s="444"/>
      <c r="R42" s="443"/>
      <c r="S42" s="439"/>
      <c r="T42" s="443"/>
      <c r="U42" s="439"/>
      <c r="V42" s="443"/>
      <c r="W42" s="439"/>
      <c r="X42" s="443"/>
      <c r="Z42" s="443"/>
      <c r="AA42" s="439"/>
      <c r="AB42" s="443"/>
      <c r="AD42" s="443"/>
      <c r="AE42" s="439"/>
      <c r="AF42" s="444"/>
    </row>
    <row r="43" spans="2:32" ht="18" customHeight="1" x14ac:dyDescent="0.25">
      <c r="B43" s="443"/>
      <c r="C43" s="439"/>
      <c r="D43" s="443"/>
      <c r="E43" s="439"/>
      <c r="F43" s="443"/>
      <c r="G43" s="439"/>
      <c r="H43" s="443"/>
      <c r="J43" s="443"/>
      <c r="K43" s="439"/>
      <c r="L43" s="443"/>
      <c r="N43" s="443"/>
      <c r="O43" s="439"/>
      <c r="P43" s="444"/>
      <c r="R43" s="443"/>
      <c r="S43" s="439"/>
      <c r="T43" s="443"/>
      <c r="U43" s="439"/>
      <c r="V43" s="443"/>
      <c r="W43" s="439"/>
      <c r="X43" s="443"/>
      <c r="Z43" s="443"/>
      <c r="AA43" s="439"/>
      <c r="AB43" s="443"/>
      <c r="AD43" s="443"/>
      <c r="AE43" s="439"/>
      <c r="AF43" s="444"/>
    </row>
    <row r="44" spans="2:32" ht="18" customHeight="1" x14ac:dyDescent="0.25">
      <c r="B44" s="443"/>
      <c r="C44" s="439"/>
      <c r="D44" s="443"/>
      <c r="E44" s="439"/>
      <c r="F44" s="443"/>
      <c r="G44" s="439"/>
      <c r="H44" s="443"/>
      <c r="J44" s="443"/>
      <c r="K44" s="439"/>
      <c r="L44" s="443"/>
      <c r="N44" s="443"/>
      <c r="O44" s="439"/>
      <c r="P44" s="444"/>
      <c r="R44" s="443"/>
      <c r="S44" s="439"/>
      <c r="T44" s="443"/>
      <c r="U44" s="439"/>
      <c r="V44" s="443"/>
      <c r="W44" s="439"/>
      <c r="X44" s="443"/>
      <c r="Z44" s="443"/>
      <c r="AA44" s="439"/>
      <c r="AB44" s="443"/>
      <c r="AD44" s="443"/>
      <c r="AE44" s="439"/>
      <c r="AF44" s="444"/>
    </row>
    <row r="45" spans="2:32" ht="18" customHeight="1" x14ac:dyDescent="0.25">
      <c r="B45" s="443"/>
      <c r="C45" s="439"/>
      <c r="D45" s="443"/>
      <c r="E45" s="439"/>
      <c r="F45" s="443"/>
      <c r="G45" s="439"/>
      <c r="H45" s="443"/>
      <c r="J45" s="443"/>
      <c r="K45" s="439"/>
      <c r="L45" s="443"/>
      <c r="N45" s="443"/>
      <c r="O45" s="439"/>
      <c r="P45" s="444"/>
      <c r="R45" s="443"/>
      <c r="S45" s="439"/>
      <c r="T45" s="443"/>
      <c r="U45" s="439"/>
      <c r="V45" s="443"/>
      <c r="W45" s="439"/>
      <c r="X45" s="443"/>
      <c r="Z45" s="443"/>
      <c r="AA45" s="439"/>
      <c r="AB45" s="443"/>
      <c r="AD45" s="443"/>
      <c r="AE45" s="439"/>
      <c r="AF45" s="444"/>
    </row>
    <row r="46" spans="2:32" ht="18" customHeight="1" x14ac:dyDescent="0.25">
      <c r="B46" s="443"/>
      <c r="C46" s="439"/>
      <c r="D46" s="443"/>
      <c r="E46" s="439"/>
      <c r="F46" s="443"/>
      <c r="G46" s="439"/>
      <c r="H46" s="443"/>
      <c r="J46" s="443"/>
      <c r="K46" s="439"/>
      <c r="L46" s="443"/>
      <c r="N46" s="443"/>
      <c r="O46" s="439"/>
      <c r="P46" s="444"/>
      <c r="R46" s="443"/>
      <c r="S46" s="439"/>
      <c r="T46" s="443"/>
      <c r="U46" s="439"/>
      <c r="V46" s="443"/>
      <c r="W46" s="439"/>
      <c r="X46" s="443"/>
      <c r="Z46" s="443"/>
      <c r="AA46" s="439"/>
      <c r="AB46" s="443"/>
      <c r="AD46" s="443"/>
      <c r="AE46" s="439"/>
      <c r="AF46" s="444"/>
    </row>
    <row r="47" spans="2:32" ht="18" customHeight="1" x14ac:dyDescent="0.25">
      <c r="B47" s="443"/>
      <c r="C47" s="439"/>
      <c r="D47" s="443"/>
      <c r="E47" s="439"/>
      <c r="F47" s="443"/>
      <c r="G47" s="439"/>
      <c r="H47" s="443"/>
      <c r="J47" s="443"/>
      <c r="K47" s="439"/>
      <c r="L47" s="443"/>
      <c r="N47" s="443"/>
      <c r="O47" s="439"/>
      <c r="P47" s="444"/>
      <c r="R47" s="443"/>
      <c r="S47" s="439"/>
      <c r="T47" s="443"/>
      <c r="U47" s="439"/>
      <c r="V47" s="443"/>
      <c r="W47" s="439"/>
      <c r="X47" s="443"/>
      <c r="Z47" s="443"/>
      <c r="AA47" s="439"/>
      <c r="AB47" s="443"/>
      <c r="AD47" s="443"/>
      <c r="AE47" s="439"/>
      <c r="AF47" s="444"/>
    </row>
    <row r="48" spans="2:32" ht="18" customHeight="1" x14ac:dyDescent="0.25">
      <c r="B48" s="443"/>
      <c r="C48" s="439"/>
      <c r="D48" s="443"/>
      <c r="E48" s="439"/>
      <c r="F48" s="443"/>
      <c r="G48" s="439"/>
      <c r="H48" s="443"/>
      <c r="J48" s="443"/>
      <c r="K48" s="439"/>
      <c r="L48" s="443"/>
      <c r="N48" s="443"/>
      <c r="O48" s="439"/>
      <c r="P48" s="444"/>
      <c r="R48" s="443"/>
      <c r="S48" s="439"/>
      <c r="T48" s="443"/>
      <c r="U48" s="439"/>
      <c r="V48" s="443"/>
      <c r="W48" s="439"/>
      <c r="X48" s="443"/>
      <c r="Z48" s="443"/>
      <c r="AA48" s="439"/>
      <c r="AB48" s="443"/>
      <c r="AD48" s="443"/>
      <c r="AE48" s="439"/>
      <c r="AF48" s="444"/>
    </row>
    <row r="49" spans="2:32" ht="18" customHeight="1" x14ac:dyDescent="0.25">
      <c r="B49" s="443"/>
      <c r="C49" s="439"/>
      <c r="D49" s="443"/>
      <c r="E49" s="439"/>
      <c r="F49" s="443"/>
      <c r="G49" s="439"/>
      <c r="H49" s="443"/>
      <c r="J49" s="443"/>
      <c r="K49" s="439"/>
      <c r="L49" s="443"/>
      <c r="N49" s="443"/>
      <c r="O49" s="439"/>
      <c r="P49" s="444"/>
      <c r="R49" s="443"/>
      <c r="S49" s="439"/>
      <c r="T49" s="443"/>
      <c r="U49" s="439"/>
      <c r="V49" s="443"/>
      <c r="W49" s="439"/>
      <c r="X49" s="443"/>
      <c r="Z49" s="443"/>
      <c r="AA49" s="439"/>
      <c r="AB49" s="443"/>
      <c r="AD49" s="443"/>
      <c r="AE49" s="439"/>
      <c r="AF49" s="444"/>
    </row>
    <row r="50" spans="2:32" ht="18" customHeight="1" x14ac:dyDescent="0.25">
      <c r="B50" s="443"/>
      <c r="C50" s="439"/>
      <c r="D50" s="443"/>
      <c r="E50" s="439"/>
      <c r="F50" s="443"/>
      <c r="G50" s="439"/>
      <c r="H50" s="443"/>
      <c r="J50" s="443"/>
      <c r="K50" s="439"/>
      <c r="L50" s="443"/>
      <c r="N50" s="443"/>
      <c r="O50" s="439"/>
      <c r="P50" s="444"/>
      <c r="R50" s="443"/>
      <c r="S50" s="439"/>
      <c r="T50" s="443"/>
      <c r="U50" s="439"/>
      <c r="V50" s="443"/>
      <c r="W50" s="439"/>
      <c r="X50" s="443"/>
      <c r="Z50" s="443"/>
      <c r="AA50" s="439"/>
      <c r="AB50" s="443"/>
      <c r="AD50" s="443"/>
      <c r="AE50" s="439"/>
      <c r="AF50" s="444"/>
    </row>
    <row r="51" spans="2:32" x14ac:dyDescent="0.25">
      <c r="B51" s="443"/>
      <c r="C51" s="439"/>
      <c r="D51" s="443"/>
      <c r="E51" s="439"/>
      <c r="F51" s="443"/>
      <c r="G51" s="439"/>
      <c r="H51" s="443"/>
      <c r="J51" s="443"/>
      <c r="K51" s="439"/>
      <c r="L51" s="443"/>
      <c r="N51" s="443"/>
      <c r="O51" s="439"/>
      <c r="P51" s="444"/>
      <c r="R51" s="443"/>
      <c r="S51" s="439"/>
      <c r="T51" s="443"/>
      <c r="U51" s="439"/>
      <c r="V51" s="443"/>
      <c r="W51" s="439"/>
      <c r="X51" s="443"/>
      <c r="Z51" s="443"/>
      <c r="AA51" s="439"/>
      <c r="AB51" s="443"/>
      <c r="AD51" s="443"/>
      <c r="AE51" s="439"/>
      <c r="AF51" s="444"/>
    </row>
    <row r="52" spans="2:32" x14ac:dyDescent="0.25">
      <c r="B52" s="443"/>
      <c r="C52" s="439"/>
      <c r="D52" s="443"/>
      <c r="E52" s="439"/>
      <c r="F52" s="443"/>
      <c r="G52" s="439"/>
      <c r="H52" s="443"/>
      <c r="J52" s="443"/>
      <c r="K52" s="439"/>
      <c r="L52" s="443"/>
      <c r="N52" s="443"/>
      <c r="O52" s="439"/>
      <c r="P52" s="444"/>
      <c r="R52" s="443"/>
      <c r="S52" s="439"/>
      <c r="T52" s="443"/>
      <c r="U52" s="439"/>
      <c r="V52" s="443"/>
      <c r="W52" s="439"/>
      <c r="X52" s="443"/>
      <c r="Z52" s="443"/>
      <c r="AA52" s="439"/>
      <c r="AB52" s="443"/>
      <c r="AD52" s="443"/>
      <c r="AE52" s="439"/>
      <c r="AF52" s="444"/>
    </row>
  </sheetData>
  <mergeCells count="148">
    <mergeCell ref="C37:D37"/>
    <mergeCell ref="G37:H37"/>
    <mergeCell ref="K37:L37"/>
    <mergeCell ref="S37:T37"/>
    <mergeCell ref="W37:X37"/>
    <mergeCell ref="AA37:AB37"/>
    <mergeCell ref="AA33:AB33"/>
    <mergeCell ref="AE33:AF33"/>
    <mergeCell ref="C35:D35"/>
    <mergeCell ref="G35:H35"/>
    <mergeCell ref="K35:L35"/>
    <mergeCell ref="O35:P35"/>
    <mergeCell ref="S35:T35"/>
    <mergeCell ref="W35:X35"/>
    <mergeCell ref="AA35:AB35"/>
    <mergeCell ref="AE35:AF35"/>
    <mergeCell ref="C33:D33"/>
    <mergeCell ref="G33:H33"/>
    <mergeCell ref="K33:L33"/>
    <mergeCell ref="O33:P33"/>
    <mergeCell ref="S33:T33"/>
    <mergeCell ref="W33:X33"/>
    <mergeCell ref="AA29:AB29"/>
    <mergeCell ref="AE29:AF29"/>
    <mergeCell ref="C31:D31"/>
    <mergeCell ref="G31:H31"/>
    <mergeCell ref="K31:L31"/>
    <mergeCell ref="O31:P31"/>
    <mergeCell ref="S31:T31"/>
    <mergeCell ref="W31:X31"/>
    <mergeCell ref="AA31:AB31"/>
    <mergeCell ref="AE31:AF31"/>
    <mergeCell ref="C29:D29"/>
    <mergeCell ref="G29:H29"/>
    <mergeCell ref="K29:L29"/>
    <mergeCell ref="O29:P29"/>
    <mergeCell ref="S29:T29"/>
    <mergeCell ref="W29:X29"/>
    <mergeCell ref="AA25:AB25"/>
    <mergeCell ref="AE25:AF25"/>
    <mergeCell ref="C27:D27"/>
    <mergeCell ref="G27:H27"/>
    <mergeCell ref="K27:L27"/>
    <mergeCell ref="O27:P27"/>
    <mergeCell ref="S27:T27"/>
    <mergeCell ref="W27:X27"/>
    <mergeCell ref="AA27:AB27"/>
    <mergeCell ref="AE27:AF27"/>
    <mergeCell ref="C25:D25"/>
    <mergeCell ref="G25:H25"/>
    <mergeCell ref="K25:L25"/>
    <mergeCell ref="O25:P25"/>
    <mergeCell ref="S25:T25"/>
    <mergeCell ref="W25:X25"/>
    <mergeCell ref="AA21:AB21"/>
    <mergeCell ref="AE21:AF21"/>
    <mergeCell ref="C23:D23"/>
    <mergeCell ref="G23:H23"/>
    <mergeCell ref="K23:L23"/>
    <mergeCell ref="O23:P23"/>
    <mergeCell ref="S23:T23"/>
    <mergeCell ref="W23:X23"/>
    <mergeCell ref="AA23:AB23"/>
    <mergeCell ref="AE23:AF23"/>
    <mergeCell ref="C21:D21"/>
    <mergeCell ref="G21:H21"/>
    <mergeCell ref="K21:L21"/>
    <mergeCell ref="O21:P21"/>
    <mergeCell ref="S21:T21"/>
    <mergeCell ref="W21:X21"/>
    <mergeCell ref="AA17:AB17"/>
    <mergeCell ref="AE17:AF17"/>
    <mergeCell ref="C19:D19"/>
    <mergeCell ref="G19:H19"/>
    <mergeCell ref="K19:L19"/>
    <mergeCell ref="O19:P19"/>
    <mergeCell ref="S19:T19"/>
    <mergeCell ref="W19:X19"/>
    <mergeCell ref="AA19:AB19"/>
    <mergeCell ref="AE19:AF19"/>
    <mergeCell ref="C17:D17"/>
    <mergeCell ref="G17:H17"/>
    <mergeCell ref="K17:L17"/>
    <mergeCell ref="O17:P17"/>
    <mergeCell ref="S17:T17"/>
    <mergeCell ref="W17:X17"/>
    <mergeCell ref="AA13:AB13"/>
    <mergeCell ref="AE13:AF13"/>
    <mergeCell ref="C15:D15"/>
    <mergeCell ref="G15:H15"/>
    <mergeCell ref="K15:L15"/>
    <mergeCell ref="O15:P15"/>
    <mergeCell ref="S15:T15"/>
    <mergeCell ref="W15:X15"/>
    <mergeCell ref="AA15:AB15"/>
    <mergeCell ref="AE15:AF15"/>
    <mergeCell ref="C13:D13"/>
    <mergeCell ref="G13:H13"/>
    <mergeCell ref="K13:L13"/>
    <mergeCell ref="O13:P13"/>
    <mergeCell ref="S13:T13"/>
    <mergeCell ref="W13:X13"/>
    <mergeCell ref="AA9:AB9"/>
    <mergeCell ref="AE9:AF9"/>
    <mergeCell ref="C11:D11"/>
    <mergeCell ref="G11:H11"/>
    <mergeCell ref="K11:L11"/>
    <mergeCell ref="O11:P11"/>
    <mergeCell ref="S11:T11"/>
    <mergeCell ref="W11:X11"/>
    <mergeCell ref="AA11:AB11"/>
    <mergeCell ref="AE11:AF11"/>
    <mergeCell ref="C9:D9"/>
    <mergeCell ref="G9:H9"/>
    <mergeCell ref="K9:L9"/>
    <mergeCell ref="O9:P9"/>
    <mergeCell ref="S9:T9"/>
    <mergeCell ref="W9:X9"/>
    <mergeCell ref="AA5:AB5"/>
    <mergeCell ref="AE5:AF5"/>
    <mergeCell ref="C7:D7"/>
    <mergeCell ref="G7:H7"/>
    <mergeCell ref="K7:L7"/>
    <mergeCell ref="O7:P7"/>
    <mergeCell ref="S7:T7"/>
    <mergeCell ref="W7:X7"/>
    <mergeCell ref="AA7:AB7"/>
    <mergeCell ref="AE7:AF7"/>
    <mergeCell ref="C5:D5"/>
    <mergeCell ref="G5:H5"/>
    <mergeCell ref="K5:L5"/>
    <mergeCell ref="O5:P5"/>
    <mergeCell ref="S5:T5"/>
    <mergeCell ref="W5:X5"/>
    <mergeCell ref="AA1:AB1"/>
    <mergeCell ref="AE1:AF1"/>
    <mergeCell ref="C3:D3"/>
    <mergeCell ref="G3:H3"/>
    <mergeCell ref="K3:L3"/>
    <mergeCell ref="O3:P3"/>
    <mergeCell ref="AA3:AB3"/>
    <mergeCell ref="AE3:AF3"/>
    <mergeCell ref="C1:D1"/>
    <mergeCell ref="G1:H1"/>
    <mergeCell ref="K1:L1"/>
    <mergeCell ref="O1:P1"/>
    <mergeCell ref="S1:T1"/>
    <mergeCell ref="W1:X1"/>
  </mergeCells>
  <pageMargins left="0.313" right="0.313" top="0.5" bottom="0.5" header="0" footer="0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D4D9-D182-43C3-BF5E-D51E6E2311EA}">
  <sheetPr codeName="Sheet13"/>
  <dimension ref="A1:P161"/>
  <sheetViews>
    <sheetView showGridLines="0" workbookViewId="0">
      <pane ySplit="6" topLeftCell="A7" activePane="bottomLeft" state="frozen"/>
      <selection pane="bottomLeft" activeCell="L38" sqref="L38"/>
    </sheetView>
  </sheetViews>
  <sheetFormatPr defaultColWidth="9.109375" defaultRowHeight="13.2" x14ac:dyDescent="0.25"/>
  <cols>
    <col min="1" max="1" width="29.6640625" style="139" customWidth="1"/>
    <col min="2" max="2" width="10.33203125" style="139" customWidth="1"/>
    <col min="3" max="3" width="4.33203125" style="86" customWidth="1"/>
    <col min="4" max="5" width="2.33203125" style="86" customWidth="1"/>
    <col min="6" max="6" width="5.33203125" style="86" customWidth="1"/>
    <col min="7" max="7" width="4" style="86" customWidth="1"/>
    <col min="8" max="8" width="2.109375" style="86" customWidth="1"/>
    <col min="9" max="9" width="10.88671875" style="138" customWidth="1"/>
    <col min="10" max="10" width="9.44140625" style="137" bestFit="1" customWidth="1"/>
    <col min="11" max="11" width="10.88671875" style="136" customWidth="1"/>
    <col min="12" max="12" width="3.44140625" style="136" customWidth="1"/>
    <col min="13" max="13" width="7.33203125" style="135" customWidth="1"/>
    <col min="14" max="16384" width="9.109375" style="86"/>
  </cols>
  <sheetData>
    <row r="1" spans="1:16" x14ac:dyDescent="0.25">
      <c r="A1" s="86"/>
      <c r="B1" s="86"/>
    </row>
    <row r="2" spans="1:16" x14ac:dyDescent="0.25">
      <c r="A2" s="86"/>
      <c r="B2" s="86"/>
      <c r="O2" s="86" t="s">
        <v>88</v>
      </c>
      <c r="P2" s="86">
        <v>3</v>
      </c>
    </row>
    <row r="3" spans="1:16" ht="32.4" x14ac:dyDescent="0.55000000000000004">
      <c r="A3" s="174" t="s">
        <v>89</v>
      </c>
      <c r="B3" s="174"/>
    </row>
    <row r="4" spans="1:16" x14ac:dyDescent="0.25">
      <c r="A4" s="86"/>
      <c r="B4" s="86"/>
      <c r="M4" s="173" t="s">
        <v>90</v>
      </c>
    </row>
    <row r="5" spans="1:16" x14ac:dyDescent="0.25">
      <c r="A5" s="86"/>
      <c r="B5" s="86"/>
      <c r="F5" s="87" t="s">
        <v>91</v>
      </c>
      <c r="G5" s="87"/>
      <c r="H5" s="87"/>
      <c r="I5" s="172" t="s">
        <v>92</v>
      </c>
      <c r="J5" s="171" t="s">
        <v>93</v>
      </c>
      <c r="K5" s="170" t="s">
        <v>94</v>
      </c>
      <c r="L5" s="170"/>
      <c r="M5" s="135" t="s">
        <v>95</v>
      </c>
    </row>
    <row r="6" spans="1:16" x14ac:dyDescent="0.25">
      <c r="A6" s="169" t="s">
        <v>19</v>
      </c>
      <c r="B6" s="169"/>
      <c r="C6" s="169" t="s">
        <v>20</v>
      </c>
      <c r="D6" s="169"/>
      <c r="E6" s="169"/>
      <c r="F6" s="169" t="s">
        <v>96</v>
      </c>
      <c r="G6" s="169"/>
      <c r="H6" s="169"/>
      <c r="I6" s="168" t="s">
        <v>97</v>
      </c>
      <c r="J6" s="167" t="s">
        <v>97</v>
      </c>
      <c r="K6" s="166" t="s">
        <v>98</v>
      </c>
      <c r="L6" s="166"/>
      <c r="M6" s="165" t="s">
        <v>99</v>
      </c>
    </row>
    <row r="7" spans="1:16" ht="24.6" x14ac:dyDescent="0.4">
      <c r="A7" s="152" t="s">
        <v>2529</v>
      </c>
      <c r="B7" s="144"/>
      <c r="C7" s="143"/>
      <c r="D7" s="143"/>
      <c r="E7" s="143"/>
      <c r="F7" s="143"/>
      <c r="G7" s="143"/>
      <c r="H7" s="143"/>
      <c r="I7" s="149"/>
      <c r="M7" s="148"/>
    </row>
    <row r="8" spans="1:16" x14ac:dyDescent="0.25">
      <c r="A8" s="147" t="s">
        <v>2528</v>
      </c>
      <c r="B8" s="147"/>
      <c r="C8" s="145">
        <v>72</v>
      </c>
      <c r="D8" s="145" t="s">
        <v>102</v>
      </c>
      <c r="E8" s="145"/>
      <c r="F8" s="145">
        <v>90</v>
      </c>
      <c r="G8" s="145" t="s">
        <v>103</v>
      </c>
      <c r="H8" s="145"/>
      <c r="I8" s="142">
        <v>165.9</v>
      </c>
      <c r="J8" s="137">
        <f>+C8*F8*12</f>
        <v>77760</v>
      </c>
      <c r="K8" s="136">
        <f>+(I8+50)/J8</f>
        <v>2.776491769547325E-3</v>
      </c>
      <c r="M8" s="141">
        <f>+K8*markup</f>
        <v>8.3294753086419759E-3</v>
      </c>
    </row>
    <row r="9" spans="1:16" x14ac:dyDescent="0.25">
      <c r="A9" s="147" t="s">
        <v>2528</v>
      </c>
      <c r="B9" s="147"/>
      <c r="C9" s="145">
        <v>118</v>
      </c>
      <c r="D9" s="145" t="s">
        <v>102</v>
      </c>
      <c r="E9" s="145"/>
      <c r="F9" s="145">
        <v>90</v>
      </c>
      <c r="G9" s="145" t="s">
        <v>103</v>
      </c>
      <c r="H9" s="145"/>
      <c r="I9" s="142">
        <v>468.3</v>
      </c>
      <c r="J9" s="137">
        <f>+C9*F9*12</f>
        <v>127440</v>
      </c>
      <c r="K9" s="136">
        <f>+(I9+50)/J9</f>
        <v>4.0670119271814182E-3</v>
      </c>
      <c r="M9" s="141">
        <f>+K9*markup</f>
        <v>1.2201035781544255E-2</v>
      </c>
    </row>
    <row r="10" spans="1:16" ht="15" customHeight="1" x14ac:dyDescent="0.4">
      <c r="A10" s="164"/>
      <c r="B10" s="164"/>
      <c r="I10" s="153"/>
      <c r="J10" s="163"/>
      <c r="K10" s="140"/>
      <c r="L10" s="140"/>
    </row>
    <row r="11" spans="1:16" ht="15" customHeight="1" x14ac:dyDescent="0.25"/>
    <row r="12" spans="1:16" ht="24.6" x14ac:dyDescent="0.4">
      <c r="A12" s="152" t="s">
        <v>140</v>
      </c>
      <c r="B12" s="144"/>
      <c r="C12" s="143"/>
      <c r="D12" s="143"/>
      <c r="E12" s="143"/>
      <c r="F12" s="143"/>
      <c r="G12" s="143"/>
      <c r="H12" s="143"/>
      <c r="I12" s="149"/>
      <c r="M12" s="148"/>
    </row>
    <row r="13" spans="1:16" x14ac:dyDescent="0.25">
      <c r="A13" s="147" t="s">
        <v>2527</v>
      </c>
      <c r="B13" s="147"/>
      <c r="C13" s="145">
        <v>77</v>
      </c>
      <c r="D13" s="145" t="s">
        <v>102</v>
      </c>
      <c r="E13" s="145"/>
      <c r="F13" s="145">
        <v>90</v>
      </c>
      <c r="G13" s="145" t="s">
        <v>103</v>
      </c>
      <c r="H13" s="145"/>
      <c r="I13" s="142">
        <v>213</v>
      </c>
      <c r="J13" s="137">
        <f>+C13*F13*12</f>
        <v>83160</v>
      </c>
      <c r="K13" s="136">
        <f>+(I13+50)/J13</f>
        <v>3.1625781625781624E-3</v>
      </c>
      <c r="M13" s="141">
        <f>+K13*markup</f>
        <v>9.4877344877344876E-3</v>
      </c>
    </row>
    <row r="14" spans="1:16" x14ac:dyDescent="0.25">
      <c r="A14" s="147" t="s">
        <v>2525</v>
      </c>
      <c r="B14" s="147"/>
      <c r="C14" s="145">
        <v>77</v>
      </c>
      <c r="D14" s="145" t="s">
        <v>102</v>
      </c>
      <c r="E14" s="145"/>
      <c r="F14" s="145">
        <v>90</v>
      </c>
      <c r="G14" s="145" t="s">
        <v>103</v>
      </c>
      <c r="H14" s="145"/>
      <c r="I14" s="142">
        <v>213</v>
      </c>
      <c r="J14" s="137">
        <f>+C14*F14*12</f>
        <v>83160</v>
      </c>
      <c r="K14" s="136">
        <f>+(I14+50)/J14</f>
        <v>3.1625781625781624E-3</v>
      </c>
      <c r="M14" s="141">
        <f>+K14*markup</f>
        <v>9.4877344877344876E-3</v>
      </c>
    </row>
    <row r="15" spans="1:16" x14ac:dyDescent="0.25">
      <c r="A15" s="147" t="s">
        <v>2526</v>
      </c>
      <c r="B15" s="147"/>
      <c r="C15" s="145">
        <v>77</v>
      </c>
      <c r="D15" s="145" t="s">
        <v>102</v>
      </c>
      <c r="E15" s="145"/>
      <c r="F15" s="145">
        <v>90</v>
      </c>
      <c r="G15" s="145" t="s">
        <v>103</v>
      </c>
      <c r="H15" s="145"/>
      <c r="I15" s="142">
        <v>213</v>
      </c>
      <c r="J15" s="137">
        <f>+C15*F15*12</f>
        <v>83160</v>
      </c>
      <c r="K15" s="136">
        <f>+(I15+50)/J15</f>
        <v>3.1625781625781624E-3</v>
      </c>
      <c r="M15" s="141">
        <f>+K15*markup</f>
        <v>9.4877344877344876E-3</v>
      </c>
    </row>
    <row r="16" spans="1:16" x14ac:dyDescent="0.25">
      <c r="A16" s="147" t="s">
        <v>2525</v>
      </c>
      <c r="B16" s="147"/>
      <c r="C16" s="145">
        <v>72</v>
      </c>
      <c r="D16" s="145" t="s">
        <v>102</v>
      </c>
      <c r="E16" s="145"/>
      <c r="F16" s="145">
        <v>90</v>
      </c>
      <c r="G16" s="145" t="s">
        <v>103</v>
      </c>
      <c r="H16" s="145"/>
      <c r="I16" s="142">
        <v>207</v>
      </c>
      <c r="J16" s="137">
        <f>+C16*F16*12</f>
        <v>77760</v>
      </c>
      <c r="K16" s="136">
        <f>+(I16+50)/J16</f>
        <v>3.3050411522633745E-3</v>
      </c>
      <c r="M16" s="141">
        <f>+K16*markup</f>
        <v>9.9151234567901245E-3</v>
      </c>
    </row>
    <row r="17" spans="1:13" x14ac:dyDescent="0.25">
      <c r="A17" s="144"/>
      <c r="B17" s="144"/>
      <c r="C17" s="143"/>
      <c r="D17" s="143"/>
      <c r="E17" s="143"/>
      <c r="F17" s="143"/>
      <c r="G17" s="143"/>
      <c r="H17" s="143"/>
      <c r="I17" s="149"/>
      <c r="M17" s="148"/>
    </row>
    <row r="19" spans="1:13" ht="24.6" x14ac:dyDescent="0.4">
      <c r="A19" s="152" t="s">
        <v>2524</v>
      </c>
      <c r="B19" s="144"/>
      <c r="C19" s="143"/>
      <c r="D19" s="143"/>
      <c r="E19" s="143"/>
      <c r="F19" s="143"/>
      <c r="G19" s="143"/>
      <c r="H19" s="143"/>
      <c r="I19" s="149"/>
      <c r="M19" s="148"/>
    </row>
    <row r="20" spans="1:13" x14ac:dyDescent="0.25">
      <c r="A20" s="144" t="s">
        <v>151</v>
      </c>
      <c r="B20" s="151">
        <v>0.05</v>
      </c>
      <c r="C20" s="143">
        <v>98</v>
      </c>
      <c r="D20" s="150" t="s">
        <v>102</v>
      </c>
      <c r="E20" s="143"/>
      <c r="F20" s="143">
        <v>99</v>
      </c>
      <c r="G20" s="143" t="s">
        <v>103</v>
      </c>
      <c r="H20" s="143"/>
      <c r="I20" s="149">
        <v>470.91</v>
      </c>
      <c r="J20" s="137">
        <f t="shared" ref="J20:J32" si="0">+C20*F20*12</f>
        <v>116424</v>
      </c>
      <c r="K20" s="136">
        <f t="shared" ref="K20:K32" si="1">+(I20+50)/J20</f>
        <v>4.4742492956778681E-3</v>
      </c>
      <c r="M20" s="141">
        <f t="shared" ref="M20:M32" si="2">+K20*markup</f>
        <v>1.3422747887033605E-2</v>
      </c>
    </row>
    <row r="21" spans="1:13" x14ac:dyDescent="0.25">
      <c r="A21" s="144" t="s">
        <v>151</v>
      </c>
      <c r="B21" s="151">
        <v>0.03</v>
      </c>
      <c r="C21" s="143">
        <v>98</v>
      </c>
      <c r="D21" s="150" t="s">
        <v>102</v>
      </c>
      <c r="E21" s="143"/>
      <c r="F21" s="143">
        <v>99</v>
      </c>
      <c r="G21" s="143" t="s">
        <v>103</v>
      </c>
      <c r="H21" s="143"/>
      <c r="I21" s="149">
        <v>494.34</v>
      </c>
      <c r="J21" s="137">
        <f t="shared" si="0"/>
        <v>116424</v>
      </c>
      <c r="K21" s="136">
        <f t="shared" si="1"/>
        <v>4.6754964612107461E-3</v>
      </c>
      <c r="M21" s="141">
        <f t="shared" si="2"/>
        <v>1.4026489383632238E-2</v>
      </c>
    </row>
    <row r="22" spans="1:13" x14ac:dyDescent="0.25">
      <c r="A22" s="144" t="s">
        <v>151</v>
      </c>
      <c r="B22" s="151">
        <v>0.01</v>
      </c>
      <c r="C22" s="143">
        <v>98</v>
      </c>
      <c r="D22" s="150" t="s">
        <v>102</v>
      </c>
      <c r="E22" s="143"/>
      <c r="F22" s="143">
        <v>99</v>
      </c>
      <c r="G22" s="143" t="s">
        <v>103</v>
      </c>
      <c r="H22" s="143"/>
      <c r="I22" s="149">
        <v>530.94000000000005</v>
      </c>
      <c r="J22" s="137">
        <f t="shared" si="0"/>
        <v>116424</v>
      </c>
      <c r="K22" s="136">
        <f t="shared" si="1"/>
        <v>4.9898646327217761E-3</v>
      </c>
      <c r="M22" s="141">
        <f t="shared" si="2"/>
        <v>1.4969593898165328E-2</v>
      </c>
    </row>
    <row r="23" spans="1:13" x14ac:dyDescent="0.25">
      <c r="A23" s="147" t="s">
        <v>153</v>
      </c>
      <c r="B23" s="162">
        <v>0.03</v>
      </c>
      <c r="C23" s="145">
        <v>98</v>
      </c>
      <c r="D23" s="146" t="s">
        <v>102</v>
      </c>
      <c r="E23" s="145"/>
      <c r="F23" s="145">
        <v>99</v>
      </c>
      <c r="G23" s="145" t="s">
        <v>103</v>
      </c>
      <c r="H23" s="145"/>
      <c r="I23" s="142">
        <v>476.85</v>
      </c>
      <c r="J23" s="137">
        <f t="shared" si="0"/>
        <v>116424</v>
      </c>
      <c r="K23" s="136">
        <f t="shared" si="1"/>
        <v>4.5252697038411322E-3</v>
      </c>
      <c r="M23" s="141">
        <f t="shared" si="2"/>
        <v>1.3575809111523396E-2</v>
      </c>
    </row>
    <row r="24" spans="1:13" x14ac:dyDescent="0.25">
      <c r="A24" s="147" t="s">
        <v>154</v>
      </c>
      <c r="B24" s="162">
        <v>0.03</v>
      </c>
      <c r="C24" s="145">
        <v>98</v>
      </c>
      <c r="D24" s="146" t="s">
        <v>102</v>
      </c>
      <c r="E24" s="145"/>
      <c r="F24" s="145">
        <v>99</v>
      </c>
      <c r="G24" s="145" t="s">
        <v>103</v>
      </c>
      <c r="H24" s="145"/>
      <c r="I24" s="142">
        <v>470.91</v>
      </c>
      <c r="J24" s="137">
        <f t="shared" si="0"/>
        <v>116424</v>
      </c>
      <c r="K24" s="136">
        <f t="shared" si="1"/>
        <v>4.4742492956778681E-3</v>
      </c>
      <c r="M24" s="141">
        <f t="shared" si="2"/>
        <v>1.3422747887033605E-2</v>
      </c>
    </row>
    <row r="25" spans="1:13" x14ac:dyDescent="0.25">
      <c r="A25" s="147" t="s">
        <v>157</v>
      </c>
      <c r="B25" s="162">
        <v>0.05</v>
      </c>
      <c r="C25" s="145">
        <v>98</v>
      </c>
      <c r="D25" s="146" t="s">
        <v>102</v>
      </c>
      <c r="E25" s="145"/>
      <c r="F25" s="145">
        <v>99</v>
      </c>
      <c r="G25" s="145" t="s">
        <v>103</v>
      </c>
      <c r="H25" s="145"/>
      <c r="I25" s="142">
        <v>509.63</v>
      </c>
      <c r="J25" s="137">
        <f t="shared" si="0"/>
        <v>116424</v>
      </c>
      <c r="K25" s="136">
        <f t="shared" si="1"/>
        <v>4.8068267711124857E-3</v>
      </c>
      <c r="M25" s="141">
        <f t="shared" si="2"/>
        <v>1.4420480313337456E-2</v>
      </c>
    </row>
    <row r="26" spans="1:13" x14ac:dyDescent="0.25">
      <c r="A26" s="147" t="s">
        <v>158</v>
      </c>
      <c r="B26" s="162">
        <v>0.03</v>
      </c>
      <c r="C26" s="145">
        <v>98</v>
      </c>
      <c r="D26" s="146" t="s">
        <v>102</v>
      </c>
      <c r="E26" s="145"/>
      <c r="F26" s="143">
        <v>99</v>
      </c>
      <c r="G26" s="143" t="s">
        <v>103</v>
      </c>
      <c r="H26" s="143"/>
      <c r="I26" s="149">
        <v>494.34</v>
      </c>
      <c r="J26" s="137">
        <f t="shared" si="0"/>
        <v>116424</v>
      </c>
      <c r="K26" s="136">
        <f t="shared" si="1"/>
        <v>4.6754964612107461E-3</v>
      </c>
      <c r="M26" s="141">
        <f t="shared" si="2"/>
        <v>1.4026489383632238E-2</v>
      </c>
    </row>
    <row r="27" spans="1:13" x14ac:dyDescent="0.25">
      <c r="A27" s="147" t="s">
        <v>158</v>
      </c>
      <c r="B27" s="162">
        <v>0.05</v>
      </c>
      <c r="C27" s="145">
        <v>98</v>
      </c>
      <c r="D27" s="146" t="s">
        <v>102</v>
      </c>
      <c r="E27" s="145"/>
      <c r="F27" s="143">
        <v>99</v>
      </c>
      <c r="G27" s="143" t="s">
        <v>103</v>
      </c>
      <c r="H27" s="143"/>
      <c r="I27" s="149">
        <v>470.91</v>
      </c>
      <c r="J27" s="137">
        <f t="shared" si="0"/>
        <v>116424</v>
      </c>
      <c r="K27" s="136">
        <f t="shared" si="1"/>
        <v>4.4742492956778681E-3</v>
      </c>
      <c r="M27" s="141">
        <f t="shared" si="2"/>
        <v>1.3422747887033605E-2</v>
      </c>
    </row>
    <row r="28" spans="1:13" x14ac:dyDescent="0.25">
      <c r="A28" s="147" t="s">
        <v>159</v>
      </c>
      <c r="B28" s="162">
        <v>0.05</v>
      </c>
      <c r="C28" s="145">
        <v>98</v>
      </c>
      <c r="D28" s="146" t="s">
        <v>102</v>
      </c>
      <c r="E28" s="145"/>
      <c r="F28" s="143">
        <v>99</v>
      </c>
      <c r="G28" s="143" t="s">
        <v>103</v>
      </c>
      <c r="H28" s="143"/>
      <c r="I28" s="149">
        <v>517.44000000000005</v>
      </c>
      <c r="J28" s="137">
        <f t="shared" si="0"/>
        <v>116424</v>
      </c>
      <c r="K28" s="136">
        <f t="shared" si="1"/>
        <v>4.8739091596234456E-3</v>
      </c>
      <c r="M28" s="141">
        <f t="shared" si="2"/>
        <v>1.4621727478870337E-2</v>
      </c>
    </row>
    <row r="29" spans="1:13" x14ac:dyDescent="0.25">
      <c r="A29" s="147" t="s">
        <v>160</v>
      </c>
      <c r="B29" s="162">
        <v>0.03</v>
      </c>
      <c r="C29" s="145">
        <v>98</v>
      </c>
      <c r="D29" s="146" t="s">
        <v>102</v>
      </c>
      <c r="E29" s="145"/>
      <c r="F29" s="143">
        <v>99</v>
      </c>
      <c r="G29" s="143" t="s">
        <v>103</v>
      </c>
      <c r="H29" s="143"/>
      <c r="I29" s="149">
        <v>545.71</v>
      </c>
      <c r="J29" s="137">
        <f t="shared" si="0"/>
        <v>116424</v>
      </c>
      <c r="K29" s="136">
        <f t="shared" si="1"/>
        <v>5.1167285095856524E-3</v>
      </c>
      <c r="M29" s="141">
        <f t="shared" si="2"/>
        <v>1.5350185528756957E-2</v>
      </c>
    </row>
    <row r="30" spans="1:13" x14ac:dyDescent="0.25">
      <c r="A30" s="147" t="s">
        <v>161</v>
      </c>
      <c r="B30" s="162">
        <v>0.1</v>
      </c>
      <c r="C30" s="145">
        <v>98</v>
      </c>
      <c r="D30" s="146" t="s">
        <v>102</v>
      </c>
      <c r="E30" s="145"/>
      <c r="F30" s="143">
        <v>99</v>
      </c>
      <c r="G30" s="143" t="s">
        <v>103</v>
      </c>
      <c r="H30" s="143"/>
      <c r="I30" s="149">
        <v>462.53</v>
      </c>
      <c r="J30" s="137">
        <f t="shared" si="0"/>
        <v>116424</v>
      </c>
      <c r="K30" s="136">
        <f t="shared" si="1"/>
        <v>4.4022710094138665E-3</v>
      </c>
      <c r="M30" s="141">
        <f t="shared" si="2"/>
        <v>1.32068130282416E-2</v>
      </c>
    </row>
    <row r="31" spans="1:13" x14ac:dyDescent="0.25">
      <c r="A31" s="147" t="s">
        <v>163</v>
      </c>
      <c r="B31" s="162">
        <v>0.01</v>
      </c>
      <c r="C31" s="145">
        <v>98</v>
      </c>
      <c r="D31" s="146" t="s">
        <v>102</v>
      </c>
      <c r="E31" s="145"/>
      <c r="F31" s="145">
        <v>99</v>
      </c>
      <c r="G31" s="145" t="s">
        <v>103</v>
      </c>
      <c r="H31" s="145"/>
      <c r="I31" s="142">
        <v>507.21</v>
      </c>
      <c r="J31" s="137">
        <f t="shared" si="0"/>
        <v>116424</v>
      </c>
      <c r="K31" s="136">
        <f t="shared" si="1"/>
        <v>4.7860406788978217E-3</v>
      </c>
      <c r="M31" s="141">
        <f t="shared" si="2"/>
        <v>1.4358122036693465E-2</v>
      </c>
    </row>
    <row r="32" spans="1:13" x14ac:dyDescent="0.25">
      <c r="A32" s="147" t="s">
        <v>164</v>
      </c>
      <c r="B32" s="162">
        <v>0.01</v>
      </c>
      <c r="C32" s="158">
        <v>98</v>
      </c>
      <c r="D32" s="159" t="s">
        <v>102</v>
      </c>
      <c r="E32" s="158"/>
      <c r="F32" s="158">
        <v>99</v>
      </c>
      <c r="G32" s="158" t="s">
        <v>103</v>
      </c>
      <c r="H32" s="158"/>
      <c r="I32" s="157">
        <v>507.21</v>
      </c>
      <c r="J32" s="137">
        <f t="shared" si="0"/>
        <v>116424</v>
      </c>
      <c r="K32" s="136">
        <f t="shared" si="1"/>
        <v>4.7860406788978217E-3</v>
      </c>
      <c r="M32" s="156">
        <f t="shared" si="2"/>
        <v>1.4358122036693465E-2</v>
      </c>
    </row>
    <row r="33" spans="1:13" x14ac:dyDescent="0.25">
      <c r="D33" s="154"/>
      <c r="I33" s="153"/>
    </row>
    <row r="34" spans="1:13" x14ac:dyDescent="0.25">
      <c r="D34" s="154"/>
      <c r="I34" s="153"/>
    </row>
    <row r="35" spans="1:13" x14ac:dyDescent="0.25">
      <c r="D35" s="154"/>
      <c r="I35" s="153"/>
    </row>
    <row r="36" spans="1:13" ht="24.6" x14ac:dyDescent="0.4">
      <c r="A36" s="152" t="s">
        <v>2523</v>
      </c>
      <c r="B36" s="144"/>
      <c r="C36" s="143"/>
      <c r="D36" s="150"/>
      <c r="E36" s="143"/>
      <c r="F36" s="143"/>
      <c r="G36" s="143"/>
      <c r="H36" s="143"/>
      <c r="I36" s="149"/>
      <c r="M36" s="148"/>
    </row>
    <row r="37" spans="1:13" x14ac:dyDescent="0.25">
      <c r="A37" s="147" t="s">
        <v>2522</v>
      </c>
      <c r="B37" s="162">
        <v>0.03</v>
      </c>
      <c r="C37" s="145">
        <v>98</v>
      </c>
      <c r="D37" s="146" t="s">
        <v>102</v>
      </c>
      <c r="E37" s="145"/>
      <c r="F37" s="145">
        <v>90</v>
      </c>
      <c r="G37" s="145" t="s">
        <v>103</v>
      </c>
      <c r="H37" s="145"/>
      <c r="I37" s="142">
        <v>448.5</v>
      </c>
      <c r="J37" s="137">
        <f t="shared" ref="J37:J43" si="3">+C37*F37*12</f>
        <v>105840</v>
      </c>
      <c r="K37" s="136">
        <f t="shared" ref="K37:K43" si="4">+(I37+50)/J37</f>
        <v>4.709939531368103E-3</v>
      </c>
      <c r="L37" s="140"/>
      <c r="M37" s="141">
        <f t="shared" ref="M37:M43" si="5">+K37*markup</f>
        <v>1.412981859410431E-2</v>
      </c>
    </row>
    <row r="38" spans="1:13" x14ac:dyDescent="0.25">
      <c r="A38" s="147" t="s">
        <v>2521</v>
      </c>
      <c r="B38" s="162">
        <v>0.01</v>
      </c>
      <c r="C38" s="145">
        <v>98</v>
      </c>
      <c r="D38" s="146" t="s">
        <v>102</v>
      </c>
      <c r="E38" s="145"/>
      <c r="F38" s="145">
        <v>90</v>
      </c>
      <c r="G38" s="145" t="s">
        <v>103</v>
      </c>
      <c r="H38" s="145"/>
      <c r="I38" s="142">
        <v>472.5</v>
      </c>
      <c r="J38" s="137">
        <f t="shared" si="3"/>
        <v>105840</v>
      </c>
      <c r="K38" s="136">
        <f t="shared" si="4"/>
        <v>4.9366969009826149E-3</v>
      </c>
      <c r="L38" s="140"/>
      <c r="M38" s="141">
        <f t="shared" si="5"/>
        <v>1.4810090702947844E-2</v>
      </c>
    </row>
    <row r="39" spans="1:13" x14ac:dyDescent="0.25">
      <c r="A39" s="147" t="s">
        <v>2520</v>
      </c>
      <c r="B39" s="162">
        <v>0.05</v>
      </c>
      <c r="C39" s="145">
        <v>98</v>
      </c>
      <c r="D39" s="146" t="s">
        <v>102</v>
      </c>
      <c r="E39" s="145"/>
      <c r="F39" s="145">
        <v>90</v>
      </c>
      <c r="G39" s="145" t="s">
        <v>103</v>
      </c>
      <c r="H39" s="145"/>
      <c r="I39" s="142">
        <v>393.6</v>
      </c>
      <c r="J39" s="137">
        <f t="shared" si="3"/>
        <v>105840</v>
      </c>
      <c r="K39" s="136">
        <f t="shared" si="4"/>
        <v>4.1912320483749061E-3</v>
      </c>
      <c r="L39" s="140"/>
      <c r="M39" s="141">
        <f t="shared" si="5"/>
        <v>1.2573696145124718E-2</v>
      </c>
    </row>
    <row r="40" spans="1:13" x14ac:dyDescent="0.25">
      <c r="A40" s="147" t="s">
        <v>2519</v>
      </c>
      <c r="B40" s="147"/>
      <c r="C40" s="145">
        <v>98</v>
      </c>
      <c r="D40" s="146" t="s">
        <v>102</v>
      </c>
      <c r="E40" s="145"/>
      <c r="F40" s="145">
        <v>90</v>
      </c>
      <c r="G40" s="145" t="s">
        <v>103</v>
      </c>
      <c r="H40" s="145"/>
      <c r="I40" s="142">
        <v>357</v>
      </c>
      <c r="J40" s="137">
        <f t="shared" si="3"/>
        <v>105840</v>
      </c>
      <c r="K40" s="136">
        <f t="shared" si="4"/>
        <v>3.845427059712774E-3</v>
      </c>
      <c r="L40" s="140"/>
      <c r="M40" s="141">
        <f t="shared" si="5"/>
        <v>1.1536281179138321E-2</v>
      </c>
    </row>
    <row r="41" spans="1:13" x14ac:dyDescent="0.25">
      <c r="A41" s="147" t="s">
        <v>2518</v>
      </c>
      <c r="B41" s="162">
        <v>0.05</v>
      </c>
      <c r="C41" s="145">
        <v>98</v>
      </c>
      <c r="D41" s="146" t="s">
        <v>102</v>
      </c>
      <c r="E41" s="145"/>
      <c r="F41" s="145">
        <v>99</v>
      </c>
      <c r="G41" s="145" t="s">
        <v>103</v>
      </c>
      <c r="H41" s="145"/>
      <c r="I41" s="142">
        <v>155.1</v>
      </c>
      <c r="J41" s="137">
        <f t="shared" si="3"/>
        <v>116424</v>
      </c>
      <c r="K41" s="136">
        <f t="shared" si="4"/>
        <v>1.7616642616642617E-3</v>
      </c>
      <c r="L41" s="140"/>
      <c r="M41" s="141">
        <f t="shared" si="5"/>
        <v>5.2849927849927848E-3</v>
      </c>
    </row>
    <row r="42" spans="1:13" x14ac:dyDescent="0.25">
      <c r="A42" s="147" t="s">
        <v>2517</v>
      </c>
      <c r="B42" s="162">
        <v>0.03</v>
      </c>
      <c r="C42" s="145">
        <v>118</v>
      </c>
      <c r="D42" s="146" t="s">
        <v>102</v>
      </c>
      <c r="E42" s="145"/>
      <c r="F42" s="145">
        <v>99</v>
      </c>
      <c r="G42" s="145" t="s">
        <v>103</v>
      </c>
      <c r="H42" s="145"/>
      <c r="I42" s="142">
        <v>603.74</v>
      </c>
      <c r="J42" s="137">
        <f t="shared" si="3"/>
        <v>140184</v>
      </c>
      <c r="K42" s="136">
        <f t="shared" si="4"/>
        <v>4.6634423329338587E-3</v>
      </c>
      <c r="L42" s="140"/>
      <c r="M42" s="141">
        <f t="shared" si="5"/>
        <v>1.3990326998801577E-2</v>
      </c>
    </row>
    <row r="43" spans="1:13" x14ac:dyDescent="0.25">
      <c r="A43" s="161" t="s">
        <v>2517</v>
      </c>
      <c r="B43" s="160">
        <v>0.03</v>
      </c>
      <c r="C43" s="158">
        <v>98</v>
      </c>
      <c r="D43" s="159" t="s">
        <v>102</v>
      </c>
      <c r="E43" s="158"/>
      <c r="F43" s="158">
        <v>99</v>
      </c>
      <c r="G43" s="158" t="s">
        <v>103</v>
      </c>
      <c r="H43" s="158"/>
      <c r="I43" s="157">
        <v>623.71</v>
      </c>
      <c r="J43" s="137">
        <f t="shared" si="3"/>
        <v>116424</v>
      </c>
      <c r="K43" s="136">
        <f t="shared" si="4"/>
        <v>5.7866934652648942E-3</v>
      </c>
      <c r="L43" s="140"/>
      <c r="M43" s="156">
        <f t="shared" si="5"/>
        <v>1.7360080395794682E-2</v>
      </c>
    </row>
    <row r="44" spans="1:13" x14ac:dyDescent="0.25">
      <c r="B44" s="155"/>
      <c r="D44" s="154"/>
      <c r="I44" s="153"/>
      <c r="L44" s="140"/>
    </row>
    <row r="45" spans="1:13" x14ac:dyDescent="0.25">
      <c r="B45" s="155"/>
      <c r="D45" s="154"/>
      <c r="I45" s="153"/>
      <c r="L45" s="140"/>
    </row>
    <row r="46" spans="1:13" x14ac:dyDescent="0.25">
      <c r="B46" s="155"/>
      <c r="D46" s="154"/>
      <c r="I46" s="153"/>
      <c r="L46" s="140"/>
    </row>
    <row r="47" spans="1:13" ht="24.6" x14ac:dyDescent="0.4">
      <c r="A47" s="152" t="s">
        <v>2516</v>
      </c>
      <c r="B47" s="151"/>
      <c r="C47" s="143"/>
      <c r="D47" s="150"/>
      <c r="E47" s="143"/>
      <c r="F47" s="143"/>
      <c r="G47" s="143"/>
      <c r="H47" s="143"/>
      <c r="I47" s="149"/>
      <c r="L47" s="140"/>
      <c r="M47" s="148"/>
    </row>
    <row r="48" spans="1:13" x14ac:dyDescent="0.25">
      <c r="A48" s="147"/>
      <c r="B48" s="147"/>
      <c r="C48" s="145">
        <v>98</v>
      </c>
      <c r="D48" s="146" t="s">
        <v>102</v>
      </c>
      <c r="E48" s="145"/>
      <c r="F48" s="145"/>
      <c r="G48" s="145"/>
      <c r="H48" s="145"/>
      <c r="I48" s="142"/>
      <c r="J48" s="137">
        <f t="shared" ref="J48:J55" si="6">+C48*F48*12</f>
        <v>0</v>
      </c>
      <c r="K48" s="136" t="e">
        <f t="shared" ref="K48:K55" si="7">+(I48+50)/J48</f>
        <v>#DIV/0!</v>
      </c>
      <c r="L48" s="140"/>
      <c r="M48" s="141" t="e">
        <f t="shared" ref="M48:M55" si="8">+K48*markup</f>
        <v>#DIV/0!</v>
      </c>
    </row>
    <row r="49" spans="1:13" x14ac:dyDescent="0.25">
      <c r="A49" s="147"/>
      <c r="B49" s="147"/>
      <c r="C49" s="145">
        <v>98</v>
      </c>
      <c r="D49" s="146" t="s">
        <v>102</v>
      </c>
      <c r="E49" s="145"/>
      <c r="F49" s="145"/>
      <c r="G49" s="145"/>
      <c r="H49" s="145"/>
      <c r="I49" s="142"/>
      <c r="J49" s="137">
        <f t="shared" si="6"/>
        <v>0</v>
      </c>
      <c r="K49" s="136" t="e">
        <f t="shared" si="7"/>
        <v>#DIV/0!</v>
      </c>
      <c r="L49" s="140"/>
      <c r="M49" s="141" t="e">
        <f t="shared" si="8"/>
        <v>#DIV/0!</v>
      </c>
    </row>
    <row r="50" spans="1:13" x14ac:dyDescent="0.25">
      <c r="A50" s="147"/>
      <c r="B50" s="147"/>
      <c r="C50" s="145">
        <v>98</v>
      </c>
      <c r="D50" s="146" t="s">
        <v>102</v>
      </c>
      <c r="E50" s="145"/>
      <c r="F50" s="145"/>
      <c r="G50" s="145"/>
      <c r="H50" s="145"/>
      <c r="I50" s="142"/>
      <c r="J50" s="137">
        <f t="shared" si="6"/>
        <v>0</v>
      </c>
      <c r="K50" s="136" t="e">
        <f t="shared" si="7"/>
        <v>#DIV/0!</v>
      </c>
      <c r="L50" s="140"/>
      <c r="M50" s="141" t="e">
        <f t="shared" si="8"/>
        <v>#DIV/0!</v>
      </c>
    </row>
    <row r="51" spans="1:13" x14ac:dyDescent="0.25">
      <c r="A51" s="147"/>
      <c r="B51" s="147"/>
      <c r="C51" s="145">
        <v>98</v>
      </c>
      <c r="D51" s="146" t="s">
        <v>102</v>
      </c>
      <c r="E51" s="145"/>
      <c r="F51" s="145"/>
      <c r="G51" s="145"/>
      <c r="H51" s="145"/>
      <c r="I51" s="142"/>
      <c r="J51" s="137">
        <f t="shared" si="6"/>
        <v>0</v>
      </c>
      <c r="K51" s="136" t="e">
        <f t="shared" si="7"/>
        <v>#DIV/0!</v>
      </c>
      <c r="L51" s="140"/>
      <c r="M51" s="141" t="e">
        <f t="shared" si="8"/>
        <v>#DIV/0!</v>
      </c>
    </row>
    <row r="52" spans="1:13" x14ac:dyDescent="0.25">
      <c r="A52" s="147"/>
      <c r="B52" s="147"/>
      <c r="C52" s="145">
        <v>98</v>
      </c>
      <c r="D52" s="146" t="s">
        <v>102</v>
      </c>
      <c r="E52" s="145"/>
      <c r="F52" s="145"/>
      <c r="G52" s="145"/>
      <c r="H52" s="145"/>
      <c r="I52" s="142"/>
      <c r="J52" s="137">
        <f t="shared" si="6"/>
        <v>0</v>
      </c>
      <c r="K52" s="136" t="e">
        <f t="shared" si="7"/>
        <v>#DIV/0!</v>
      </c>
      <c r="L52" s="140"/>
      <c r="M52" s="141" t="e">
        <f t="shared" si="8"/>
        <v>#DIV/0!</v>
      </c>
    </row>
    <row r="53" spans="1:13" x14ac:dyDescent="0.25">
      <c r="A53" s="147"/>
      <c r="B53" s="147"/>
      <c r="C53" s="145">
        <v>98</v>
      </c>
      <c r="D53" s="146" t="s">
        <v>102</v>
      </c>
      <c r="E53" s="145"/>
      <c r="F53" s="145"/>
      <c r="G53" s="145"/>
      <c r="H53" s="145"/>
      <c r="I53" s="142"/>
      <c r="J53" s="137">
        <f t="shared" si="6"/>
        <v>0</v>
      </c>
      <c r="K53" s="136" t="e">
        <f t="shared" si="7"/>
        <v>#DIV/0!</v>
      </c>
      <c r="L53" s="140"/>
      <c r="M53" s="141" t="e">
        <f t="shared" si="8"/>
        <v>#DIV/0!</v>
      </c>
    </row>
    <row r="54" spans="1:13" x14ac:dyDescent="0.25">
      <c r="A54" s="147"/>
      <c r="B54" s="147"/>
      <c r="C54" s="145">
        <v>98</v>
      </c>
      <c r="D54" s="146" t="s">
        <v>102</v>
      </c>
      <c r="E54" s="145"/>
      <c r="F54" s="145"/>
      <c r="G54" s="145"/>
      <c r="H54" s="145"/>
      <c r="I54" s="142"/>
      <c r="J54" s="137">
        <f t="shared" si="6"/>
        <v>0</v>
      </c>
      <c r="K54" s="136" t="e">
        <f t="shared" si="7"/>
        <v>#DIV/0!</v>
      </c>
      <c r="L54" s="140"/>
      <c r="M54" s="141" t="e">
        <f t="shared" si="8"/>
        <v>#DIV/0!</v>
      </c>
    </row>
    <row r="55" spans="1:13" x14ac:dyDescent="0.25">
      <c r="A55" s="144"/>
      <c r="B55" s="144"/>
      <c r="C55" s="143"/>
      <c r="D55" s="143"/>
      <c r="E55" s="143"/>
      <c r="F55" s="143"/>
      <c r="G55" s="143"/>
      <c r="H55" s="143"/>
      <c r="I55" s="142"/>
      <c r="J55" s="137">
        <f t="shared" si="6"/>
        <v>0</v>
      </c>
      <c r="K55" s="136" t="e">
        <f t="shared" si="7"/>
        <v>#DIV/0!</v>
      </c>
      <c r="L55" s="140"/>
      <c r="M55" s="141" t="e">
        <f t="shared" si="8"/>
        <v>#DIV/0!</v>
      </c>
    </row>
    <row r="56" spans="1:13" x14ac:dyDescent="0.25">
      <c r="L56" s="140"/>
    </row>
    <row r="58" spans="1:13" ht="13.8" thickBot="1" x14ac:dyDescent="0.3"/>
    <row r="59" spans="1:13" x14ac:dyDescent="0.25">
      <c r="A59" s="195"/>
      <c r="B59" s="196"/>
      <c r="C59" s="196"/>
      <c r="D59" s="196"/>
      <c r="E59" s="196"/>
      <c r="F59" s="196"/>
      <c r="G59" s="196"/>
      <c r="H59" s="196"/>
      <c r="I59" s="197"/>
      <c r="J59" s="198"/>
      <c r="K59" s="199"/>
      <c r="L59" s="199"/>
      <c r="M59" s="200"/>
    </row>
    <row r="60" spans="1:13" ht="18" thickBot="1" x14ac:dyDescent="0.35">
      <c r="A60" s="193" t="s">
        <v>2531</v>
      </c>
      <c r="B60" s="194"/>
      <c r="C60" s="205" t="s">
        <v>2532</v>
      </c>
      <c r="D60" s="194"/>
      <c r="E60" s="194"/>
      <c r="F60" s="194"/>
      <c r="G60" s="194"/>
      <c r="H60" s="194"/>
      <c r="I60" s="201"/>
      <c r="J60" s="202"/>
      <c r="K60" s="203"/>
      <c r="L60" s="203"/>
      <c r="M60" s="204"/>
    </row>
    <row r="61" spans="1:13" x14ac:dyDescent="0.25">
      <c r="A61" s="192"/>
      <c r="B61" s="192"/>
    </row>
    <row r="62" spans="1:13" customFormat="1" ht="24.6" x14ac:dyDescent="0.4">
      <c r="A62" s="176" t="s">
        <v>100</v>
      </c>
      <c r="B62" s="176"/>
      <c r="C62" s="15"/>
      <c r="D62" s="15"/>
      <c r="E62" s="15"/>
      <c r="F62" s="15"/>
      <c r="G62" s="15"/>
      <c r="H62" s="15"/>
      <c r="I62" s="16"/>
      <c r="J62" s="17"/>
      <c r="K62" s="18"/>
      <c r="L62" s="18"/>
      <c r="M62" s="19"/>
    </row>
    <row r="63" spans="1:13" customFormat="1" x14ac:dyDescent="0.25">
      <c r="A63" s="177" t="s">
        <v>101</v>
      </c>
      <c r="B63" s="178"/>
      <c r="C63">
        <v>36</v>
      </c>
      <c r="D63" t="s">
        <v>102</v>
      </c>
      <c r="F63">
        <v>90</v>
      </c>
      <c r="G63" t="s">
        <v>103</v>
      </c>
      <c r="I63" s="11">
        <v>173</v>
      </c>
      <c r="J63" s="12">
        <f>+C63*F63*12</f>
        <v>38880</v>
      </c>
      <c r="K63" s="13">
        <f>+(I63+50)/J63</f>
        <v>5.7355967078189301E-3</v>
      </c>
      <c r="L63" s="13"/>
      <c r="M63" s="20">
        <f t="shared" ref="M63:M92" si="9">+K63*markup</f>
        <v>1.720679012345679E-2</v>
      </c>
    </row>
    <row r="64" spans="1:13" customFormat="1" x14ac:dyDescent="0.25">
      <c r="A64" s="178"/>
      <c r="B64" s="178"/>
      <c r="C64">
        <v>48</v>
      </c>
      <c r="D64" t="s">
        <v>102</v>
      </c>
      <c r="F64">
        <v>90</v>
      </c>
      <c r="G64" t="s">
        <v>103</v>
      </c>
      <c r="I64" s="11">
        <v>230</v>
      </c>
      <c r="J64" s="12">
        <f t="shared" ref="J64:J126" si="10">+C64*F64*12</f>
        <v>51840</v>
      </c>
      <c r="K64" s="13">
        <f t="shared" ref="K64:K126" si="11">+(I64+50)/J64</f>
        <v>5.4012345679012343E-3</v>
      </c>
      <c r="L64" s="13"/>
      <c r="M64" s="20">
        <f t="shared" si="9"/>
        <v>1.6203703703703703E-2</v>
      </c>
    </row>
    <row r="65" spans="1:13" customFormat="1" x14ac:dyDescent="0.25">
      <c r="A65" s="178"/>
      <c r="B65" s="178"/>
      <c r="C65">
        <v>60</v>
      </c>
      <c r="D65" t="s">
        <v>102</v>
      </c>
      <c r="F65">
        <v>90</v>
      </c>
      <c r="G65" t="s">
        <v>103</v>
      </c>
      <c r="I65" s="11">
        <v>287</v>
      </c>
      <c r="J65" s="12">
        <f t="shared" si="10"/>
        <v>64800</v>
      </c>
      <c r="K65" s="13">
        <f t="shared" si="11"/>
        <v>5.2006172839506176E-3</v>
      </c>
      <c r="L65" s="13"/>
      <c r="M65" s="20">
        <f t="shared" si="9"/>
        <v>1.5601851851851853E-2</v>
      </c>
    </row>
    <row r="66" spans="1:13" customFormat="1" x14ac:dyDescent="0.25">
      <c r="A66" s="178"/>
      <c r="B66" s="178"/>
      <c r="C66">
        <v>72</v>
      </c>
      <c r="D66" t="s">
        <v>102</v>
      </c>
      <c r="F66">
        <v>90</v>
      </c>
      <c r="G66" t="s">
        <v>103</v>
      </c>
      <c r="I66" s="11">
        <v>344</v>
      </c>
      <c r="J66" s="12">
        <f t="shared" si="10"/>
        <v>77760</v>
      </c>
      <c r="K66" s="13">
        <f t="shared" si="11"/>
        <v>5.0668724279835393E-3</v>
      </c>
      <c r="L66" s="13"/>
      <c r="M66" s="20">
        <f t="shared" si="9"/>
        <v>1.5200617283950618E-2</v>
      </c>
    </row>
    <row r="67" spans="1:13" customFormat="1" x14ac:dyDescent="0.25">
      <c r="A67" s="179"/>
      <c r="B67" s="179"/>
      <c r="C67" s="1">
        <v>84</v>
      </c>
      <c r="D67" s="1" t="s">
        <v>102</v>
      </c>
      <c r="E67" s="1"/>
      <c r="F67" s="1">
        <v>90</v>
      </c>
      <c r="G67" s="1" t="s">
        <v>103</v>
      </c>
      <c r="H67" s="1"/>
      <c r="I67" s="21">
        <v>402</v>
      </c>
      <c r="J67" s="12">
        <f t="shared" si="10"/>
        <v>90720</v>
      </c>
      <c r="K67" s="13">
        <f t="shared" si="11"/>
        <v>4.9823633156966494E-3</v>
      </c>
      <c r="L67" s="13"/>
      <c r="M67" s="20">
        <f t="shared" si="9"/>
        <v>1.4947089947089948E-2</v>
      </c>
    </row>
    <row r="68" spans="1:13" customFormat="1" x14ac:dyDescent="0.25">
      <c r="A68" s="177" t="s">
        <v>104</v>
      </c>
      <c r="B68" s="178"/>
      <c r="C68">
        <v>72</v>
      </c>
      <c r="D68" t="s">
        <v>102</v>
      </c>
      <c r="F68">
        <v>90</v>
      </c>
      <c r="G68" t="s">
        <v>103</v>
      </c>
      <c r="I68" s="11">
        <v>589</v>
      </c>
      <c r="J68" s="12">
        <f t="shared" si="10"/>
        <v>77760</v>
      </c>
      <c r="K68" s="13">
        <f t="shared" si="11"/>
        <v>8.2175925925925923E-3</v>
      </c>
      <c r="L68" s="13"/>
      <c r="M68" s="20">
        <f t="shared" si="9"/>
        <v>2.4652777777777777E-2</v>
      </c>
    </row>
    <row r="69" spans="1:13" customFormat="1" x14ac:dyDescent="0.25">
      <c r="A69" s="179"/>
      <c r="B69" s="179"/>
      <c r="C69" s="1">
        <v>96</v>
      </c>
      <c r="D69" s="1" t="s">
        <v>102</v>
      </c>
      <c r="E69" s="1"/>
      <c r="F69" s="1">
        <v>90</v>
      </c>
      <c r="G69" s="1" t="s">
        <v>103</v>
      </c>
      <c r="H69" s="1"/>
      <c r="I69" s="21">
        <v>784</v>
      </c>
      <c r="J69" s="12">
        <f t="shared" si="10"/>
        <v>103680</v>
      </c>
      <c r="K69" s="13">
        <f t="shared" si="11"/>
        <v>8.0439814814814818E-3</v>
      </c>
      <c r="L69" s="13"/>
      <c r="M69" s="20">
        <f t="shared" si="9"/>
        <v>2.4131944444444445E-2</v>
      </c>
    </row>
    <row r="70" spans="1:13" customFormat="1" x14ac:dyDescent="0.25">
      <c r="A70" s="177" t="s">
        <v>105</v>
      </c>
      <c r="B70" s="178"/>
      <c r="C70">
        <v>72</v>
      </c>
      <c r="D70" t="s">
        <v>102</v>
      </c>
      <c r="F70">
        <v>90</v>
      </c>
      <c r="G70" t="s">
        <v>103</v>
      </c>
      <c r="I70" s="11">
        <v>540</v>
      </c>
      <c r="J70" s="12">
        <f t="shared" si="10"/>
        <v>77760</v>
      </c>
      <c r="K70" s="13">
        <f t="shared" si="11"/>
        <v>7.5874485596707821E-3</v>
      </c>
      <c r="L70" s="13"/>
      <c r="M70" s="20">
        <f t="shared" si="9"/>
        <v>2.2762345679012346E-2</v>
      </c>
    </row>
    <row r="71" spans="1:13" customFormat="1" x14ac:dyDescent="0.25">
      <c r="A71" s="179"/>
      <c r="B71" s="179"/>
      <c r="C71" s="1">
        <v>96</v>
      </c>
      <c r="D71" s="1" t="s">
        <v>102</v>
      </c>
      <c r="E71" s="1"/>
      <c r="F71" s="1">
        <v>90</v>
      </c>
      <c r="G71" s="1" t="s">
        <v>103</v>
      </c>
      <c r="H71" s="1"/>
      <c r="I71" s="21">
        <v>720</v>
      </c>
      <c r="J71" s="12">
        <f t="shared" si="10"/>
        <v>103680</v>
      </c>
      <c r="K71" s="13">
        <f t="shared" si="11"/>
        <v>7.4266975308641976E-3</v>
      </c>
      <c r="L71" s="13"/>
      <c r="M71" s="20">
        <f t="shared" si="9"/>
        <v>2.2280092592592594E-2</v>
      </c>
    </row>
    <row r="72" spans="1:13" customFormat="1" x14ac:dyDescent="0.25">
      <c r="A72" s="177" t="s">
        <v>106</v>
      </c>
      <c r="B72" s="178"/>
      <c r="C72">
        <v>63</v>
      </c>
      <c r="D72" t="s">
        <v>102</v>
      </c>
      <c r="F72">
        <v>90</v>
      </c>
      <c r="G72" t="s">
        <v>103</v>
      </c>
      <c r="I72" s="11">
        <v>551</v>
      </c>
      <c r="J72" s="12">
        <f t="shared" si="10"/>
        <v>68040</v>
      </c>
      <c r="K72" s="13">
        <f t="shared" si="11"/>
        <v>8.8330393885949435E-3</v>
      </c>
      <c r="L72" s="13"/>
      <c r="M72" s="20">
        <f t="shared" si="9"/>
        <v>2.6499118165784832E-2</v>
      </c>
    </row>
    <row r="73" spans="1:13" customFormat="1" x14ac:dyDescent="0.25">
      <c r="A73" s="179"/>
      <c r="B73" s="179"/>
      <c r="C73" s="1">
        <v>98</v>
      </c>
      <c r="D73" s="1" t="s">
        <v>102</v>
      </c>
      <c r="E73" s="1"/>
      <c r="F73" s="1">
        <v>90</v>
      </c>
      <c r="G73" s="1" t="s">
        <v>103</v>
      </c>
      <c r="H73" s="1"/>
      <c r="I73" s="21">
        <v>857</v>
      </c>
      <c r="J73" s="12">
        <f t="shared" si="10"/>
        <v>105840</v>
      </c>
      <c r="K73" s="13">
        <f t="shared" si="11"/>
        <v>8.5695389266817832E-3</v>
      </c>
      <c r="L73" s="13"/>
      <c r="M73" s="20">
        <f t="shared" si="9"/>
        <v>2.5708616780045351E-2</v>
      </c>
    </row>
    <row r="74" spans="1:13" customFormat="1" x14ac:dyDescent="0.25">
      <c r="A74" s="177" t="s">
        <v>107</v>
      </c>
      <c r="B74" s="178"/>
      <c r="C74">
        <v>72</v>
      </c>
      <c r="D74" t="s">
        <v>102</v>
      </c>
      <c r="F74">
        <v>90</v>
      </c>
      <c r="G74" t="s">
        <v>103</v>
      </c>
      <c r="I74" s="11">
        <v>470</v>
      </c>
      <c r="J74" s="12">
        <f t="shared" si="10"/>
        <v>77760</v>
      </c>
      <c r="K74" s="13">
        <f t="shared" si="11"/>
        <v>6.6872427983539094E-3</v>
      </c>
      <c r="L74" s="13"/>
      <c r="M74" s="20">
        <f t="shared" si="9"/>
        <v>2.0061728395061727E-2</v>
      </c>
    </row>
    <row r="75" spans="1:13" customFormat="1" x14ac:dyDescent="0.25">
      <c r="A75" s="179"/>
      <c r="B75" s="179"/>
      <c r="C75" s="1">
        <v>96</v>
      </c>
      <c r="D75" s="1" t="s">
        <v>102</v>
      </c>
      <c r="E75" s="1"/>
      <c r="F75" s="1">
        <v>90</v>
      </c>
      <c r="G75" s="1" t="s">
        <v>103</v>
      </c>
      <c r="H75" s="1"/>
      <c r="I75" s="21">
        <v>626</v>
      </c>
      <c r="J75" s="12">
        <f t="shared" si="10"/>
        <v>103680</v>
      </c>
      <c r="K75" s="13">
        <f t="shared" si="11"/>
        <v>6.5200617283950619E-3</v>
      </c>
      <c r="L75" s="13"/>
      <c r="M75" s="20">
        <f t="shared" si="9"/>
        <v>1.9560185185185187E-2</v>
      </c>
    </row>
    <row r="76" spans="1:13" customFormat="1" x14ac:dyDescent="0.25">
      <c r="A76" s="177" t="s">
        <v>108</v>
      </c>
      <c r="B76" s="178"/>
      <c r="C76">
        <v>63</v>
      </c>
      <c r="D76" t="s">
        <v>102</v>
      </c>
      <c r="F76">
        <v>90</v>
      </c>
      <c r="G76" t="s">
        <v>103</v>
      </c>
      <c r="I76" s="11">
        <v>636</v>
      </c>
      <c r="J76" s="12">
        <f t="shared" si="10"/>
        <v>68040</v>
      </c>
      <c r="K76" s="13">
        <f t="shared" si="11"/>
        <v>1.0082304526748971E-2</v>
      </c>
      <c r="L76" s="13"/>
      <c r="M76" s="20">
        <f t="shared" si="9"/>
        <v>3.0246913580246913E-2</v>
      </c>
    </row>
    <row r="77" spans="1:13" customFormat="1" x14ac:dyDescent="0.25">
      <c r="A77" s="178"/>
      <c r="B77" s="178"/>
      <c r="C77">
        <v>84</v>
      </c>
      <c r="D77" t="s">
        <v>102</v>
      </c>
      <c r="F77">
        <v>90</v>
      </c>
      <c r="G77" t="s">
        <v>103</v>
      </c>
      <c r="I77" s="11">
        <v>714</v>
      </c>
      <c r="J77" s="12">
        <f t="shared" si="10"/>
        <v>90720</v>
      </c>
      <c r="K77" s="13">
        <f t="shared" si="11"/>
        <v>8.4215167548500874E-3</v>
      </c>
      <c r="L77" s="13"/>
      <c r="M77" s="20">
        <f t="shared" si="9"/>
        <v>2.526455026455026E-2</v>
      </c>
    </row>
    <row r="78" spans="1:13" customFormat="1" x14ac:dyDescent="0.25">
      <c r="A78" s="179"/>
      <c r="B78" s="179"/>
      <c r="C78" s="1">
        <v>98</v>
      </c>
      <c r="D78" s="1" t="s">
        <v>102</v>
      </c>
      <c r="E78" s="1"/>
      <c r="F78" s="1">
        <v>90</v>
      </c>
      <c r="G78" s="1" t="s">
        <v>103</v>
      </c>
      <c r="H78" s="1"/>
      <c r="I78" s="21">
        <v>833</v>
      </c>
      <c r="J78" s="12">
        <f t="shared" si="10"/>
        <v>105840</v>
      </c>
      <c r="K78" s="13">
        <f t="shared" si="11"/>
        <v>8.3427815570672713E-3</v>
      </c>
      <c r="L78" s="13"/>
      <c r="M78" s="20">
        <f t="shared" si="9"/>
        <v>2.5028344671201814E-2</v>
      </c>
    </row>
    <row r="79" spans="1:13" customFormat="1" x14ac:dyDescent="0.25">
      <c r="A79" s="177" t="s">
        <v>109</v>
      </c>
      <c r="B79" s="178"/>
      <c r="C79">
        <v>63</v>
      </c>
      <c r="D79" t="s">
        <v>102</v>
      </c>
      <c r="F79">
        <v>90</v>
      </c>
      <c r="G79" t="s">
        <v>103</v>
      </c>
      <c r="I79" s="11">
        <v>494</v>
      </c>
      <c r="J79" s="12">
        <f t="shared" si="10"/>
        <v>68040</v>
      </c>
      <c r="K79" s="13">
        <f t="shared" si="11"/>
        <v>7.9952968841857739E-3</v>
      </c>
      <c r="L79" s="13"/>
      <c r="M79" s="20">
        <f t="shared" si="9"/>
        <v>2.3985890652557323E-2</v>
      </c>
    </row>
    <row r="80" spans="1:13" customFormat="1" x14ac:dyDescent="0.25">
      <c r="A80" s="178"/>
      <c r="B80" s="178"/>
      <c r="C80">
        <v>84</v>
      </c>
      <c r="D80" t="s">
        <v>102</v>
      </c>
      <c r="F80">
        <v>90</v>
      </c>
      <c r="G80" t="s">
        <v>103</v>
      </c>
      <c r="I80" s="11">
        <v>659</v>
      </c>
      <c r="J80" s="12">
        <f t="shared" si="10"/>
        <v>90720</v>
      </c>
      <c r="K80" s="13">
        <f t="shared" si="11"/>
        <v>7.8152557319223978E-3</v>
      </c>
      <c r="L80" s="13"/>
      <c r="M80" s="20">
        <f t="shared" si="9"/>
        <v>2.3445767195767193E-2</v>
      </c>
    </row>
    <row r="81" spans="1:13" customFormat="1" x14ac:dyDescent="0.25">
      <c r="A81" s="179"/>
      <c r="B81" s="179"/>
      <c r="C81" s="1">
        <v>98</v>
      </c>
      <c r="D81" s="1" t="s">
        <v>102</v>
      </c>
      <c r="E81" s="1"/>
      <c r="F81" s="1">
        <v>90</v>
      </c>
      <c r="G81" s="1" t="s">
        <v>103</v>
      </c>
      <c r="H81" s="1"/>
      <c r="I81" s="21">
        <v>768</v>
      </c>
      <c r="J81" s="12">
        <f t="shared" si="10"/>
        <v>105840</v>
      </c>
      <c r="K81" s="13">
        <f t="shared" si="11"/>
        <v>7.7286470143613003E-3</v>
      </c>
      <c r="L81" s="13"/>
      <c r="M81" s="20">
        <f t="shared" si="9"/>
        <v>2.3185941043083899E-2</v>
      </c>
    </row>
    <row r="82" spans="1:13" customFormat="1" x14ac:dyDescent="0.25">
      <c r="A82" s="177" t="s">
        <v>110</v>
      </c>
      <c r="B82" s="178"/>
      <c r="C82">
        <v>63</v>
      </c>
      <c r="D82" t="s">
        <v>102</v>
      </c>
      <c r="F82">
        <v>90</v>
      </c>
      <c r="G82" t="s">
        <v>103</v>
      </c>
      <c r="I82" s="11">
        <v>597</v>
      </c>
      <c r="J82" s="12">
        <f t="shared" si="10"/>
        <v>68040</v>
      </c>
      <c r="K82" s="13">
        <f t="shared" si="11"/>
        <v>9.5091122868900639E-3</v>
      </c>
      <c r="L82" s="13"/>
      <c r="M82" s="20">
        <f t="shared" si="9"/>
        <v>2.8527336860670192E-2</v>
      </c>
    </row>
    <row r="83" spans="1:13" customFormat="1" x14ac:dyDescent="0.25">
      <c r="A83" s="178"/>
      <c r="B83" s="178"/>
      <c r="C83">
        <v>84</v>
      </c>
      <c r="D83" t="s">
        <v>102</v>
      </c>
      <c r="F83">
        <v>90</v>
      </c>
      <c r="G83" t="s">
        <v>103</v>
      </c>
      <c r="I83" s="11">
        <v>798</v>
      </c>
      <c r="J83" s="12">
        <f t="shared" si="10"/>
        <v>90720</v>
      </c>
      <c r="K83" s="13">
        <f t="shared" si="11"/>
        <v>9.3474426807760146E-3</v>
      </c>
      <c r="L83" s="13"/>
      <c r="M83" s="20">
        <f t="shared" si="9"/>
        <v>2.8042328042328042E-2</v>
      </c>
    </row>
    <row r="84" spans="1:13" customFormat="1" x14ac:dyDescent="0.25">
      <c r="A84" s="179"/>
      <c r="B84" s="179"/>
      <c r="C84" s="1">
        <v>98</v>
      </c>
      <c r="D84" s="1" t="s">
        <v>102</v>
      </c>
      <c r="E84" s="1"/>
      <c r="F84" s="1">
        <v>90</v>
      </c>
      <c r="G84" s="1" t="s">
        <v>103</v>
      </c>
      <c r="H84" s="1"/>
      <c r="I84" s="21">
        <v>930</v>
      </c>
      <c r="J84" s="12">
        <f t="shared" si="10"/>
        <v>105840</v>
      </c>
      <c r="K84" s="13">
        <f t="shared" si="11"/>
        <v>9.2592592592592587E-3</v>
      </c>
      <c r="L84" s="13"/>
      <c r="M84" s="20">
        <f t="shared" si="9"/>
        <v>2.7777777777777776E-2</v>
      </c>
    </row>
    <row r="85" spans="1:13" customFormat="1" x14ac:dyDescent="0.25">
      <c r="A85" s="179" t="s">
        <v>111</v>
      </c>
      <c r="B85" s="179"/>
      <c r="C85" s="1">
        <v>98</v>
      </c>
      <c r="D85" s="1" t="s">
        <v>102</v>
      </c>
      <c r="E85" s="1"/>
      <c r="F85" s="1">
        <v>90</v>
      </c>
      <c r="G85" s="1" t="s">
        <v>103</v>
      </c>
      <c r="H85" s="1"/>
      <c r="I85" s="21">
        <v>933</v>
      </c>
      <c r="J85" s="12">
        <f t="shared" si="10"/>
        <v>105840</v>
      </c>
      <c r="K85" s="13">
        <f t="shared" si="11"/>
        <v>9.287603930461073E-3</v>
      </c>
      <c r="L85" s="13"/>
      <c r="M85" s="20">
        <f t="shared" si="9"/>
        <v>2.7862811791383217E-2</v>
      </c>
    </row>
    <row r="86" spans="1:13" customFormat="1" x14ac:dyDescent="0.25">
      <c r="A86" s="177" t="s">
        <v>112</v>
      </c>
      <c r="B86" s="177"/>
      <c r="C86" s="2">
        <v>96</v>
      </c>
      <c r="D86" s="2" t="s">
        <v>102</v>
      </c>
      <c r="E86" s="2"/>
      <c r="F86" s="2">
        <v>90</v>
      </c>
      <c r="G86" s="2" t="s">
        <v>103</v>
      </c>
      <c r="H86" s="2"/>
      <c r="I86" s="22">
        <v>963</v>
      </c>
      <c r="J86" s="12">
        <f t="shared" si="10"/>
        <v>103680</v>
      </c>
      <c r="K86" s="13">
        <f t="shared" si="11"/>
        <v>9.7704475308641979E-3</v>
      </c>
      <c r="L86" s="13"/>
      <c r="M86" s="20">
        <f t="shared" si="9"/>
        <v>2.9311342592592594E-2</v>
      </c>
    </row>
    <row r="87" spans="1:13" customFormat="1" x14ac:dyDescent="0.25">
      <c r="A87" s="177" t="s">
        <v>113</v>
      </c>
      <c r="B87" s="177"/>
      <c r="C87" s="2">
        <v>74</v>
      </c>
      <c r="D87" s="2" t="s">
        <v>102</v>
      </c>
      <c r="E87" s="2"/>
      <c r="F87" s="2">
        <v>90</v>
      </c>
      <c r="G87" s="2" t="s">
        <v>103</v>
      </c>
      <c r="H87" s="2"/>
      <c r="I87" s="22">
        <v>690</v>
      </c>
      <c r="J87" s="12">
        <f t="shared" si="10"/>
        <v>79920</v>
      </c>
      <c r="K87" s="13">
        <f t="shared" si="11"/>
        <v>9.2592592592592587E-3</v>
      </c>
      <c r="L87" s="13"/>
      <c r="M87" s="20">
        <f t="shared" si="9"/>
        <v>2.7777777777777776E-2</v>
      </c>
    </row>
    <row r="88" spans="1:13" customFormat="1" x14ac:dyDescent="0.25">
      <c r="A88" s="179" t="s">
        <v>114</v>
      </c>
      <c r="B88" s="179"/>
      <c r="C88" s="1">
        <v>94</v>
      </c>
      <c r="D88" s="1" t="s">
        <v>102</v>
      </c>
      <c r="E88" s="1"/>
      <c r="F88" s="1">
        <v>90</v>
      </c>
      <c r="G88" s="1" t="s">
        <v>103</v>
      </c>
      <c r="H88" s="1"/>
      <c r="I88" s="21">
        <v>1357</v>
      </c>
      <c r="J88" s="12">
        <f t="shared" si="10"/>
        <v>101520</v>
      </c>
      <c r="K88" s="13">
        <f t="shared" si="11"/>
        <v>1.385933806146572E-2</v>
      </c>
      <c r="L88" s="13"/>
      <c r="M88" s="20">
        <f t="shared" si="9"/>
        <v>4.1578014184397161E-2</v>
      </c>
    </row>
    <row r="89" spans="1:13" customFormat="1" x14ac:dyDescent="0.25">
      <c r="A89" s="177" t="s">
        <v>115</v>
      </c>
      <c r="B89" s="177"/>
      <c r="C89" s="2">
        <v>72</v>
      </c>
      <c r="D89" s="2" t="s">
        <v>102</v>
      </c>
      <c r="E89" s="2"/>
      <c r="F89" s="2">
        <v>90</v>
      </c>
      <c r="G89" s="2" t="s">
        <v>103</v>
      </c>
      <c r="H89" s="2"/>
      <c r="I89" s="22">
        <v>718</v>
      </c>
      <c r="J89" s="12">
        <f t="shared" si="10"/>
        <v>77760</v>
      </c>
      <c r="K89" s="13">
        <f t="shared" si="11"/>
        <v>9.876543209876543E-3</v>
      </c>
      <c r="L89" s="13"/>
      <c r="M89" s="20">
        <f t="shared" si="9"/>
        <v>2.9629629629629631E-2</v>
      </c>
    </row>
    <row r="90" spans="1:13" customFormat="1" x14ac:dyDescent="0.25">
      <c r="A90" s="178" t="s">
        <v>116</v>
      </c>
      <c r="B90" s="178"/>
      <c r="C90">
        <v>78</v>
      </c>
      <c r="D90" t="s">
        <v>102</v>
      </c>
      <c r="F90">
        <v>90</v>
      </c>
      <c r="G90" t="s">
        <v>103</v>
      </c>
      <c r="I90" s="23">
        <v>426</v>
      </c>
      <c r="J90" s="12">
        <f t="shared" si="10"/>
        <v>84240</v>
      </c>
      <c r="K90" s="13">
        <f t="shared" si="11"/>
        <v>5.6505223171889841E-3</v>
      </c>
      <c r="L90" s="13"/>
      <c r="M90" s="20">
        <f t="shared" si="9"/>
        <v>1.6951566951566951E-2</v>
      </c>
    </row>
    <row r="91" spans="1:13" customFormat="1" x14ac:dyDescent="0.25">
      <c r="A91" s="178"/>
      <c r="B91" s="178"/>
      <c r="C91">
        <v>98</v>
      </c>
      <c r="D91" t="s">
        <v>102</v>
      </c>
      <c r="F91">
        <v>90</v>
      </c>
      <c r="G91" t="s">
        <v>103</v>
      </c>
      <c r="I91" s="23">
        <v>535.20000000000005</v>
      </c>
      <c r="J91" s="12">
        <f t="shared" si="10"/>
        <v>105840</v>
      </c>
      <c r="K91" s="13">
        <f t="shared" si="11"/>
        <v>5.5291005291005293E-3</v>
      </c>
      <c r="L91" s="13"/>
      <c r="M91" s="20">
        <f t="shared" si="9"/>
        <v>1.6587301587301588E-2</v>
      </c>
    </row>
    <row r="92" spans="1:13" customFormat="1" x14ac:dyDescent="0.25">
      <c r="A92" s="178"/>
      <c r="B92" s="178"/>
      <c r="C92">
        <v>118</v>
      </c>
      <c r="F92">
        <v>90</v>
      </c>
      <c r="G92" t="s">
        <v>103</v>
      </c>
      <c r="I92" s="23">
        <v>645</v>
      </c>
      <c r="J92" s="12">
        <f t="shared" si="10"/>
        <v>127440</v>
      </c>
      <c r="K92" s="13">
        <f t="shared" si="11"/>
        <v>5.4535467671060888E-3</v>
      </c>
      <c r="L92" s="13"/>
      <c r="M92" s="20">
        <f t="shared" si="9"/>
        <v>1.6360640301318265E-2</v>
      </c>
    </row>
    <row r="93" spans="1:13" customFormat="1" x14ac:dyDescent="0.25">
      <c r="A93" s="178"/>
      <c r="B93" s="178"/>
      <c r="I93" s="11"/>
      <c r="J93" s="12"/>
      <c r="K93" s="13"/>
      <c r="L93" s="13"/>
      <c r="M93" s="24"/>
    </row>
    <row r="94" spans="1:13" customFormat="1" ht="24.6" x14ac:dyDescent="0.4">
      <c r="A94" s="180" t="s">
        <v>117</v>
      </c>
      <c r="B94" s="180"/>
      <c r="C94" s="1"/>
      <c r="D94" s="1"/>
      <c r="E94" s="1"/>
      <c r="F94" s="1"/>
      <c r="G94" s="1"/>
      <c r="H94" s="1"/>
      <c r="I94" s="21"/>
      <c r="J94" s="12"/>
      <c r="K94" s="13"/>
      <c r="L94" s="13"/>
      <c r="M94" s="25"/>
    </row>
    <row r="95" spans="1:13" customFormat="1" ht="12.75" customHeight="1" x14ac:dyDescent="0.25">
      <c r="A95" s="177" t="s">
        <v>118</v>
      </c>
      <c r="B95" s="181">
        <v>0.01</v>
      </c>
      <c r="C95">
        <v>98</v>
      </c>
      <c r="D95" t="s">
        <v>102</v>
      </c>
      <c r="F95">
        <v>90</v>
      </c>
      <c r="G95" t="s">
        <v>103</v>
      </c>
      <c r="I95" s="11">
        <f>24.52*30</f>
        <v>735.6</v>
      </c>
      <c r="J95" s="12">
        <f>+C95*F95*12</f>
        <v>105840</v>
      </c>
      <c r="K95" s="13">
        <f>+(I95+50)/J95</f>
        <v>7.4225245653817083E-3</v>
      </c>
      <c r="L95" s="13"/>
      <c r="M95" s="25">
        <f>+K95*markup</f>
        <v>2.2267573696145126E-2</v>
      </c>
    </row>
    <row r="96" spans="1:13" customFormat="1" ht="12.75" customHeight="1" x14ac:dyDescent="0.25">
      <c r="A96" s="177" t="s">
        <v>119</v>
      </c>
      <c r="B96" s="181">
        <v>0.03</v>
      </c>
      <c r="C96">
        <v>98</v>
      </c>
      <c r="D96" t="s">
        <v>102</v>
      </c>
      <c r="F96">
        <v>90</v>
      </c>
      <c r="G96" t="s">
        <v>103</v>
      </c>
      <c r="I96" s="11">
        <f>22.29*30</f>
        <v>668.69999999999993</v>
      </c>
      <c r="J96" s="12">
        <f>+C96*F96*12</f>
        <v>105840</v>
      </c>
      <c r="K96" s="13">
        <f>+(I96+50)/J96</f>
        <v>6.7904383975812537E-3</v>
      </c>
      <c r="L96" s="13"/>
      <c r="M96" s="25">
        <f>+K96*markup</f>
        <v>2.0371315192743759E-2</v>
      </c>
    </row>
    <row r="97" spans="1:13" customFormat="1" x14ac:dyDescent="0.25">
      <c r="A97" s="177" t="s">
        <v>120</v>
      </c>
      <c r="B97" s="182">
        <v>0.05</v>
      </c>
      <c r="C97">
        <v>78</v>
      </c>
      <c r="D97" t="s">
        <v>102</v>
      </c>
      <c r="F97">
        <v>81</v>
      </c>
      <c r="G97" t="s">
        <v>103</v>
      </c>
      <c r="I97" s="11">
        <f>15.73*27</f>
        <v>424.71000000000004</v>
      </c>
      <c r="J97" s="12">
        <f t="shared" si="10"/>
        <v>75816</v>
      </c>
      <c r="K97" s="13">
        <f t="shared" si="11"/>
        <v>6.2613432520839934E-3</v>
      </c>
      <c r="L97" s="13"/>
      <c r="M97" s="25">
        <f t="shared" ref="M97:M123" si="12">+K97*markup</f>
        <v>1.8784029756251978E-2</v>
      </c>
    </row>
    <row r="98" spans="1:13" customFormat="1" x14ac:dyDescent="0.25">
      <c r="A98" s="178"/>
      <c r="B98" s="178"/>
      <c r="C98">
        <v>98</v>
      </c>
      <c r="D98" t="s">
        <v>102</v>
      </c>
      <c r="F98">
        <v>81</v>
      </c>
      <c r="G98" t="s">
        <v>103</v>
      </c>
      <c r="I98" s="11">
        <f>19.87*27</f>
        <v>536.49</v>
      </c>
      <c r="J98" s="12">
        <f t="shared" si="10"/>
        <v>95256</v>
      </c>
      <c r="K98" s="13">
        <f t="shared" si="11"/>
        <v>6.1569874863525659E-3</v>
      </c>
      <c r="L98" s="13"/>
      <c r="M98" s="20">
        <f t="shared" si="12"/>
        <v>1.8470962459057699E-2</v>
      </c>
    </row>
    <row r="99" spans="1:13" customFormat="1" x14ac:dyDescent="0.25">
      <c r="A99" s="179"/>
      <c r="B99" s="179"/>
      <c r="C99" s="1">
        <v>122</v>
      </c>
      <c r="D99" s="1" t="s">
        <v>102</v>
      </c>
      <c r="E99" s="1"/>
      <c r="F99" s="1">
        <v>81</v>
      </c>
      <c r="G99" s="1" t="s">
        <v>103</v>
      </c>
      <c r="H99" s="1"/>
      <c r="I99" s="21">
        <f>24.83*27</f>
        <v>670.41</v>
      </c>
      <c r="J99" s="12">
        <f t="shared" si="10"/>
        <v>118584</v>
      </c>
      <c r="K99" s="13">
        <f t="shared" si="11"/>
        <v>6.0751028806584357E-3</v>
      </c>
      <c r="L99" s="13"/>
      <c r="M99" s="20">
        <f t="shared" si="12"/>
        <v>1.8225308641975309E-2</v>
      </c>
    </row>
    <row r="100" spans="1:13" customFormat="1" x14ac:dyDescent="0.25">
      <c r="A100" s="177" t="s">
        <v>121</v>
      </c>
      <c r="B100" s="182">
        <v>0.1</v>
      </c>
      <c r="C100">
        <v>78</v>
      </c>
      <c r="D100" t="s">
        <v>102</v>
      </c>
      <c r="F100">
        <v>90</v>
      </c>
      <c r="G100" t="s">
        <v>103</v>
      </c>
      <c r="I100" s="11">
        <f>15.28*30</f>
        <v>458.4</v>
      </c>
      <c r="J100" s="12">
        <f t="shared" si="10"/>
        <v>84240</v>
      </c>
      <c r="K100" s="13">
        <f t="shared" si="11"/>
        <v>6.0351377018043684E-3</v>
      </c>
      <c r="L100" s="13"/>
      <c r="M100" s="20">
        <f t="shared" si="12"/>
        <v>1.8105413105413106E-2</v>
      </c>
    </row>
    <row r="101" spans="1:13" customFormat="1" x14ac:dyDescent="0.25">
      <c r="A101" s="178"/>
      <c r="B101" s="178"/>
      <c r="C101">
        <v>98</v>
      </c>
      <c r="D101" t="s">
        <v>102</v>
      </c>
      <c r="F101">
        <v>90</v>
      </c>
      <c r="G101" t="s">
        <v>103</v>
      </c>
      <c r="I101" s="11">
        <f>19.19*30</f>
        <v>575.70000000000005</v>
      </c>
      <c r="J101" s="12">
        <f t="shared" si="10"/>
        <v>105840</v>
      </c>
      <c r="K101" s="13">
        <f t="shared" si="11"/>
        <v>5.9117535903250194E-3</v>
      </c>
      <c r="L101" s="13"/>
      <c r="M101" s="20">
        <f t="shared" si="12"/>
        <v>1.7735260770975057E-2</v>
      </c>
    </row>
    <row r="102" spans="1:13" customFormat="1" x14ac:dyDescent="0.25">
      <c r="A102" s="179"/>
      <c r="B102" s="179"/>
      <c r="C102" s="1">
        <v>122</v>
      </c>
      <c r="D102" s="1" t="s">
        <v>102</v>
      </c>
      <c r="E102" s="1"/>
      <c r="F102" s="1">
        <v>90</v>
      </c>
      <c r="G102" s="1" t="s">
        <v>103</v>
      </c>
      <c r="H102" s="1"/>
      <c r="I102" s="21">
        <f>23.89*30</f>
        <v>716.7</v>
      </c>
      <c r="J102" s="12">
        <f t="shared" si="10"/>
        <v>131760</v>
      </c>
      <c r="K102" s="13">
        <f t="shared" si="11"/>
        <v>5.8189131754705532E-3</v>
      </c>
      <c r="L102" s="13"/>
      <c r="M102" s="20">
        <f t="shared" si="12"/>
        <v>1.745673952641166E-2</v>
      </c>
    </row>
    <row r="103" spans="1:13" customFormat="1" x14ac:dyDescent="0.25">
      <c r="A103" s="177" t="s">
        <v>122</v>
      </c>
      <c r="B103" s="182">
        <v>0.03</v>
      </c>
      <c r="C103">
        <v>78</v>
      </c>
      <c r="D103" t="s">
        <v>102</v>
      </c>
      <c r="F103">
        <v>90</v>
      </c>
      <c r="G103" t="s">
        <v>103</v>
      </c>
      <c r="I103" s="11">
        <f>17.18*30</f>
        <v>515.4</v>
      </c>
      <c r="J103" s="12">
        <f t="shared" si="10"/>
        <v>84240</v>
      </c>
      <c r="K103" s="13">
        <f t="shared" si="11"/>
        <v>6.711775878442545E-3</v>
      </c>
      <c r="L103" s="13"/>
      <c r="M103" s="20">
        <f t="shared" si="12"/>
        <v>2.0135327635327636E-2</v>
      </c>
    </row>
    <row r="104" spans="1:13" customFormat="1" x14ac:dyDescent="0.25">
      <c r="A104" s="178"/>
      <c r="B104" s="178"/>
      <c r="C104">
        <v>98</v>
      </c>
      <c r="D104" t="s">
        <v>102</v>
      </c>
      <c r="F104">
        <v>90</v>
      </c>
      <c r="G104" t="s">
        <v>103</v>
      </c>
      <c r="I104" s="11">
        <f>21.59*30</f>
        <v>647.70000000000005</v>
      </c>
      <c r="J104" s="12">
        <f t="shared" si="10"/>
        <v>105840</v>
      </c>
      <c r="K104" s="13">
        <f t="shared" si="11"/>
        <v>6.5920256991685569E-3</v>
      </c>
      <c r="L104" s="13"/>
      <c r="M104" s="20">
        <f t="shared" si="12"/>
        <v>1.977607709750567E-2</v>
      </c>
    </row>
    <row r="105" spans="1:13" customFormat="1" x14ac:dyDescent="0.25">
      <c r="A105" s="179"/>
      <c r="B105" s="179"/>
      <c r="C105" s="1">
        <v>122</v>
      </c>
      <c r="D105" s="1" t="s">
        <v>102</v>
      </c>
      <c r="E105" s="1"/>
      <c r="F105" s="1">
        <v>90</v>
      </c>
      <c r="G105" s="1" t="s">
        <v>103</v>
      </c>
      <c r="H105" s="1"/>
      <c r="I105" s="21">
        <f>25.25*30</f>
        <v>757.5</v>
      </c>
      <c r="J105" s="12">
        <f t="shared" si="10"/>
        <v>131760</v>
      </c>
      <c r="K105" s="13">
        <f t="shared" si="11"/>
        <v>6.1285670916818458E-3</v>
      </c>
      <c r="L105" s="13"/>
      <c r="M105" s="20">
        <f t="shared" si="12"/>
        <v>1.8385701275045539E-2</v>
      </c>
    </row>
    <row r="106" spans="1:13" customFormat="1" x14ac:dyDescent="0.25">
      <c r="A106" s="177" t="s">
        <v>123</v>
      </c>
      <c r="B106" s="182">
        <v>0.05</v>
      </c>
      <c r="C106">
        <v>78</v>
      </c>
      <c r="D106" t="s">
        <v>102</v>
      </c>
      <c r="F106">
        <v>90</v>
      </c>
      <c r="G106" t="s">
        <v>103</v>
      </c>
      <c r="I106" s="11">
        <f>16.14*30</f>
        <v>484.20000000000005</v>
      </c>
      <c r="J106" s="12">
        <f t="shared" si="10"/>
        <v>84240</v>
      </c>
      <c r="K106" s="13">
        <f t="shared" si="11"/>
        <v>6.3414055080721751E-3</v>
      </c>
      <c r="L106" s="13"/>
      <c r="M106" s="20">
        <f t="shared" si="12"/>
        <v>1.9024216524216524E-2</v>
      </c>
    </row>
    <row r="107" spans="1:13" customFormat="1" x14ac:dyDescent="0.25">
      <c r="A107" s="178"/>
      <c r="B107" s="178"/>
      <c r="C107">
        <v>98</v>
      </c>
      <c r="D107" t="s">
        <v>102</v>
      </c>
      <c r="F107">
        <v>90</v>
      </c>
      <c r="G107" t="s">
        <v>103</v>
      </c>
      <c r="I107" s="11">
        <f>20.28*30</f>
        <v>608.40000000000009</v>
      </c>
      <c r="J107" s="12">
        <f t="shared" si="10"/>
        <v>105840</v>
      </c>
      <c r="K107" s="13">
        <f t="shared" si="11"/>
        <v>6.2207105064247927E-3</v>
      </c>
      <c r="L107" s="13"/>
      <c r="M107" s="20">
        <f t="shared" si="12"/>
        <v>1.8662131519274379E-2</v>
      </c>
    </row>
    <row r="108" spans="1:13" customFormat="1" x14ac:dyDescent="0.25">
      <c r="A108" s="179"/>
      <c r="B108" s="178"/>
      <c r="C108" s="1">
        <v>122</v>
      </c>
      <c r="D108" t="s">
        <v>102</v>
      </c>
      <c r="F108">
        <v>90</v>
      </c>
      <c r="G108" t="s">
        <v>103</v>
      </c>
      <c r="I108" s="11">
        <f>25.25*30</f>
        <v>757.5</v>
      </c>
      <c r="J108" s="12">
        <f t="shared" si="10"/>
        <v>131760</v>
      </c>
      <c r="K108" s="13">
        <f t="shared" si="11"/>
        <v>6.1285670916818458E-3</v>
      </c>
      <c r="L108" s="13"/>
      <c r="M108" s="20">
        <f t="shared" si="12"/>
        <v>1.8385701275045539E-2</v>
      </c>
    </row>
    <row r="109" spans="1:13" customFormat="1" x14ac:dyDescent="0.25">
      <c r="A109" s="179" t="s">
        <v>124</v>
      </c>
      <c r="B109" s="179"/>
      <c r="C109" s="1">
        <v>98</v>
      </c>
      <c r="D109" s="1" t="s">
        <v>102</v>
      </c>
      <c r="E109" s="1"/>
      <c r="F109" s="1">
        <v>90</v>
      </c>
      <c r="G109" s="1" t="s">
        <v>103</v>
      </c>
      <c r="H109" s="1"/>
      <c r="I109" s="21">
        <f>22.3*30</f>
        <v>669</v>
      </c>
      <c r="J109" s="12">
        <f t="shared" si="10"/>
        <v>105840</v>
      </c>
      <c r="K109" s="13">
        <f t="shared" si="11"/>
        <v>6.7932728647014358E-3</v>
      </c>
      <c r="L109" s="13"/>
      <c r="M109" s="20">
        <f t="shared" si="12"/>
        <v>2.0379818594104308E-2</v>
      </c>
    </row>
    <row r="110" spans="1:13" customFormat="1" x14ac:dyDescent="0.25">
      <c r="A110" s="177" t="s">
        <v>125</v>
      </c>
      <c r="B110" s="183">
        <v>0.01</v>
      </c>
      <c r="C110" s="2">
        <v>98</v>
      </c>
      <c r="D110" s="2" t="s">
        <v>102</v>
      </c>
      <c r="E110" s="2"/>
      <c r="F110" s="2">
        <v>90</v>
      </c>
      <c r="G110" s="2" t="s">
        <v>103</v>
      </c>
      <c r="H110" s="2"/>
      <c r="I110" s="22">
        <f>23.61*30</f>
        <v>708.3</v>
      </c>
      <c r="J110" s="12">
        <f t="shared" si="10"/>
        <v>105840</v>
      </c>
      <c r="K110" s="13">
        <f t="shared" si="11"/>
        <v>7.1645880574452E-3</v>
      </c>
      <c r="L110" s="13"/>
      <c r="M110" s="20">
        <f t="shared" si="12"/>
        <v>2.1493764172335599E-2</v>
      </c>
    </row>
    <row r="111" spans="1:13" customFormat="1" x14ac:dyDescent="0.25">
      <c r="A111" s="177" t="s">
        <v>126</v>
      </c>
      <c r="B111" s="183">
        <v>0.03</v>
      </c>
      <c r="C111" s="2">
        <v>98</v>
      </c>
      <c r="D111" s="2" t="s">
        <v>102</v>
      </c>
      <c r="E111" s="2"/>
      <c r="F111" s="2">
        <v>90</v>
      </c>
      <c r="G111" s="2" t="s">
        <v>103</v>
      </c>
      <c r="H111" s="2"/>
      <c r="I111" s="22">
        <f>21.43*30</f>
        <v>642.9</v>
      </c>
      <c r="J111" s="12">
        <f t="shared" si="10"/>
        <v>105840</v>
      </c>
      <c r="K111" s="13">
        <f t="shared" si="11"/>
        <v>6.5466742252456534E-3</v>
      </c>
      <c r="L111" s="13"/>
      <c r="M111" s="20">
        <f t="shared" si="12"/>
        <v>1.9640022675736959E-2</v>
      </c>
    </row>
    <row r="112" spans="1:13" customFormat="1" x14ac:dyDescent="0.25">
      <c r="A112" s="177" t="s">
        <v>127</v>
      </c>
      <c r="B112" s="183">
        <v>0.05</v>
      </c>
      <c r="C112" s="2">
        <v>98</v>
      </c>
      <c r="D112" s="2" t="s">
        <v>102</v>
      </c>
      <c r="E112" s="2"/>
      <c r="F112" s="2">
        <f>55*3</f>
        <v>165</v>
      </c>
      <c r="G112" s="2" t="s">
        <v>103</v>
      </c>
      <c r="H112" s="2"/>
      <c r="I112" s="22">
        <f>29.76*55</f>
        <v>1636.8000000000002</v>
      </c>
      <c r="J112" s="12">
        <f t="shared" si="10"/>
        <v>194040</v>
      </c>
      <c r="K112" s="13">
        <f t="shared" si="11"/>
        <v>8.6930529787672649E-3</v>
      </c>
      <c r="L112" s="13"/>
      <c r="M112" s="20">
        <f t="shared" si="12"/>
        <v>2.6079158936301795E-2</v>
      </c>
    </row>
    <row r="113" spans="1:13" customFormat="1" x14ac:dyDescent="0.25">
      <c r="A113" s="179" t="s">
        <v>128</v>
      </c>
      <c r="B113" s="184">
        <v>0.1</v>
      </c>
      <c r="C113" s="1">
        <v>98</v>
      </c>
      <c r="D113" s="1" t="s">
        <v>102</v>
      </c>
      <c r="E113" s="1"/>
      <c r="F113" s="1">
        <v>165</v>
      </c>
      <c r="G113" s="1" t="s">
        <v>103</v>
      </c>
      <c r="H113" s="1"/>
      <c r="I113" s="21">
        <f>26.72*55</f>
        <v>1469.6</v>
      </c>
      <c r="J113" s="12">
        <f t="shared" si="10"/>
        <v>194040</v>
      </c>
      <c r="K113" s="13">
        <f t="shared" si="11"/>
        <v>7.8313749742321172E-3</v>
      </c>
      <c r="L113" s="13"/>
      <c r="M113" s="20">
        <f t="shared" si="12"/>
        <v>2.3494124922696352E-2</v>
      </c>
    </row>
    <row r="114" spans="1:13" customFormat="1" x14ac:dyDescent="0.25">
      <c r="A114" s="177" t="s">
        <v>129</v>
      </c>
      <c r="B114" s="183" t="s">
        <v>130</v>
      </c>
      <c r="C114" s="2">
        <v>78</v>
      </c>
      <c r="D114" s="2" t="s">
        <v>102</v>
      </c>
      <c r="E114" s="2"/>
      <c r="F114" s="2">
        <v>90</v>
      </c>
      <c r="G114" s="2" t="s">
        <v>103</v>
      </c>
      <c r="H114" s="2"/>
      <c r="I114" s="22">
        <f>26.32*30</f>
        <v>789.6</v>
      </c>
      <c r="J114" s="12">
        <f t="shared" si="10"/>
        <v>84240</v>
      </c>
      <c r="K114" s="13">
        <f t="shared" si="11"/>
        <v>9.9667616334283005E-3</v>
      </c>
      <c r="L114" s="13"/>
      <c r="M114" s="20">
        <f t="shared" si="12"/>
        <v>2.9900284900284901E-2</v>
      </c>
    </row>
    <row r="115" spans="1:13" customFormat="1" x14ac:dyDescent="0.25">
      <c r="A115" s="177" t="s">
        <v>131</v>
      </c>
      <c r="B115" s="177" t="s">
        <v>130</v>
      </c>
      <c r="C115" s="2">
        <v>78</v>
      </c>
      <c r="D115" s="2" t="s">
        <v>102</v>
      </c>
      <c r="E115" s="2"/>
      <c r="F115" s="2">
        <v>90</v>
      </c>
      <c r="G115" s="2" t="s">
        <v>103</v>
      </c>
      <c r="H115" s="2"/>
      <c r="I115" s="22">
        <f>26.32*30</f>
        <v>789.6</v>
      </c>
      <c r="J115" s="12">
        <f t="shared" si="10"/>
        <v>84240</v>
      </c>
      <c r="K115" s="13">
        <f t="shared" si="11"/>
        <v>9.9667616334283005E-3</v>
      </c>
      <c r="L115" s="13"/>
      <c r="M115" s="20">
        <f t="shared" si="12"/>
        <v>2.9900284900284901E-2</v>
      </c>
    </row>
    <row r="116" spans="1:13" customFormat="1" x14ac:dyDescent="0.25">
      <c r="A116" s="178" t="s">
        <v>132</v>
      </c>
      <c r="B116" s="178" t="s">
        <v>130</v>
      </c>
      <c r="C116">
        <v>78</v>
      </c>
      <c r="D116" t="s">
        <v>102</v>
      </c>
      <c r="F116">
        <v>90</v>
      </c>
      <c r="G116" t="s">
        <v>103</v>
      </c>
      <c r="I116" s="11">
        <f>30.3*30</f>
        <v>909</v>
      </c>
      <c r="J116" s="12">
        <f t="shared" si="10"/>
        <v>84240</v>
      </c>
      <c r="K116" s="13">
        <f t="shared" si="11"/>
        <v>1.1384140550807217E-2</v>
      </c>
      <c r="L116" s="13"/>
      <c r="M116" s="20">
        <f t="shared" si="12"/>
        <v>3.4152421652421647E-2</v>
      </c>
    </row>
    <row r="117" spans="1:13" customFormat="1" x14ac:dyDescent="0.25">
      <c r="A117" s="179" t="s">
        <v>133</v>
      </c>
      <c r="B117" s="179" t="s">
        <v>134</v>
      </c>
      <c r="C117" s="1">
        <v>78</v>
      </c>
      <c r="D117" s="1" t="s">
        <v>102</v>
      </c>
      <c r="E117" s="1"/>
      <c r="F117" s="1">
        <v>90</v>
      </c>
      <c r="G117" s="1" t="s">
        <v>103</v>
      </c>
      <c r="H117" s="1"/>
      <c r="I117" s="21">
        <f>41.83*30</f>
        <v>1254.8999999999999</v>
      </c>
      <c r="J117" s="12">
        <f t="shared" si="10"/>
        <v>84240</v>
      </c>
      <c r="K117" s="13">
        <f t="shared" si="11"/>
        <v>1.5490265906932572E-2</v>
      </c>
      <c r="L117" s="13"/>
      <c r="M117" s="20">
        <f t="shared" si="12"/>
        <v>4.6470797720797714E-2</v>
      </c>
    </row>
    <row r="118" spans="1:13" customFormat="1" x14ac:dyDescent="0.25">
      <c r="A118" s="177" t="s">
        <v>135</v>
      </c>
      <c r="B118" s="182">
        <v>0.04</v>
      </c>
      <c r="C118">
        <v>75</v>
      </c>
      <c r="D118" t="s">
        <v>102</v>
      </c>
      <c r="F118">
        <v>99</v>
      </c>
      <c r="G118" t="s">
        <v>103</v>
      </c>
      <c r="I118" s="11">
        <f>41.25*33</f>
        <v>1361.25</v>
      </c>
      <c r="J118" s="12">
        <f t="shared" si="10"/>
        <v>89100</v>
      </c>
      <c r="K118" s="13">
        <f t="shared" si="11"/>
        <v>1.5838945005611671E-2</v>
      </c>
      <c r="L118" s="13"/>
      <c r="M118" s="20">
        <f t="shared" si="12"/>
        <v>4.7516835016835013E-2</v>
      </c>
    </row>
    <row r="119" spans="1:13" customFormat="1" x14ac:dyDescent="0.25">
      <c r="A119" s="179"/>
      <c r="B119" s="179"/>
      <c r="C119" s="1">
        <v>94</v>
      </c>
      <c r="D119" s="1" t="s">
        <v>102</v>
      </c>
      <c r="E119" s="1"/>
      <c r="F119" s="1">
        <v>90</v>
      </c>
      <c r="G119" s="1" t="s">
        <v>103</v>
      </c>
      <c r="H119" s="1"/>
      <c r="I119" s="21">
        <f>51.98*33</f>
        <v>1715.34</v>
      </c>
      <c r="J119" s="12">
        <f t="shared" si="10"/>
        <v>101520</v>
      </c>
      <c r="K119" s="13">
        <f t="shared" si="11"/>
        <v>1.7389085894405042E-2</v>
      </c>
      <c r="L119" s="13"/>
      <c r="M119" s="20">
        <f t="shared" si="12"/>
        <v>5.2167257683215125E-2</v>
      </c>
    </row>
    <row r="120" spans="1:13" customFormat="1" x14ac:dyDescent="0.25">
      <c r="A120" s="179" t="s">
        <v>136</v>
      </c>
      <c r="B120" s="184">
        <v>0.03</v>
      </c>
      <c r="C120" s="1">
        <v>118</v>
      </c>
      <c r="D120" s="1" t="s">
        <v>102</v>
      </c>
      <c r="E120" s="1"/>
      <c r="F120" s="1">
        <v>165</v>
      </c>
      <c r="G120" s="1" t="s">
        <v>103</v>
      </c>
      <c r="H120" s="1"/>
      <c r="I120" s="21">
        <f>28*55</f>
        <v>1540</v>
      </c>
      <c r="J120" s="12">
        <f t="shared" si="10"/>
        <v>233640</v>
      </c>
      <c r="K120" s="13">
        <f t="shared" si="11"/>
        <v>6.8053415511042633E-3</v>
      </c>
      <c r="L120" s="13"/>
      <c r="M120" s="20">
        <f t="shared" si="12"/>
        <v>2.0416024653312791E-2</v>
      </c>
    </row>
    <row r="121" spans="1:13" customFormat="1" x14ac:dyDescent="0.25">
      <c r="A121" s="177" t="s">
        <v>137</v>
      </c>
      <c r="B121" s="183">
        <v>0.03</v>
      </c>
      <c r="C121" s="2">
        <v>94</v>
      </c>
      <c r="D121" s="2" t="s">
        <v>102</v>
      </c>
      <c r="E121" s="2"/>
      <c r="F121" s="2">
        <v>165</v>
      </c>
      <c r="G121" s="2" t="s">
        <v>103</v>
      </c>
      <c r="H121" s="2"/>
      <c r="I121" s="22">
        <f>29.04*55</f>
        <v>1597.2</v>
      </c>
      <c r="J121" s="12">
        <f t="shared" si="10"/>
        <v>186120</v>
      </c>
      <c r="K121" s="13">
        <f t="shared" si="11"/>
        <v>8.8502041693531066E-3</v>
      </c>
      <c r="L121" s="13"/>
      <c r="M121" s="20">
        <f t="shared" si="12"/>
        <v>2.6550612508059318E-2</v>
      </c>
    </row>
    <row r="122" spans="1:13" customFormat="1" x14ac:dyDescent="0.25">
      <c r="A122" s="177" t="s">
        <v>138</v>
      </c>
      <c r="B122" s="177" t="s">
        <v>134</v>
      </c>
      <c r="C122" s="2">
        <v>118</v>
      </c>
      <c r="D122" s="2" t="s">
        <v>102</v>
      </c>
      <c r="E122" s="2"/>
      <c r="F122" s="2">
        <f>27*3</f>
        <v>81</v>
      </c>
      <c r="G122" s="2" t="s">
        <v>103</v>
      </c>
      <c r="H122" s="2"/>
      <c r="I122" s="22">
        <f>41.5*27</f>
        <v>1120.5</v>
      </c>
      <c r="J122" s="12">
        <f>+C122*F122*12</f>
        <v>114696</v>
      </c>
      <c r="K122" s="13">
        <f>+(I122+50)/J122</f>
        <v>1.0205238194880379E-2</v>
      </c>
      <c r="L122" s="13"/>
      <c r="M122" s="20">
        <f t="shared" si="12"/>
        <v>3.0615714584641136E-2</v>
      </c>
    </row>
    <row r="123" spans="1:13" customFormat="1" x14ac:dyDescent="0.25">
      <c r="A123" s="185" t="s">
        <v>139</v>
      </c>
      <c r="B123" s="185" t="s">
        <v>134</v>
      </c>
      <c r="C123" s="2">
        <v>110</v>
      </c>
      <c r="D123" s="2" t="s">
        <v>102</v>
      </c>
      <c r="E123" s="2"/>
      <c r="F123" s="2">
        <v>90</v>
      </c>
      <c r="G123" s="2" t="s">
        <v>103</v>
      </c>
      <c r="H123" s="2"/>
      <c r="I123" s="22">
        <v>1102.8</v>
      </c>
      <c r="J123" s="12">
        <f>+C123*F123*12</f>
        <v>118800</v>
      </c>
      <c r="K123" s="13">
        <f>+(I123+50)/J123</f>
        <v>9.703703703703704E-3</v>
      </c>
      <c r="L123" s="13"/>
      <c r="M123" s="20">
        <f t="shared" si="12"/>
        <v>2.9111111111111112E-2</v>
      </c>
    </row>
    <row r="124" spans="1:13" customFormat="1" x14ac:dyDescent="0.25">
      <c r="A124" s="178"/>
      <c r="B124" s="178"/>
      <c r="I124" s="11"/>
      <c r="J124" s="12"/>
      <c r="K124" s="13"/>
      <c r="L124" s="13"/>
      <c r="M124" s="14"/>
    </row>
    <row r="125" spans="1:13" customFormat="1" ht="24.6" x14ac:dyDescent="0.4">
      <c r="A125" s="180" t="s">
        <v>140</v>
      </c>
      <c r="B125" s="179"/>
      <c r="C125" s="1"/>
      <c r="D125" s="1"/>
      <c r="E125" s="1"/>
      <c r="F125" s="1"/>
      <c r="G125" s="1"/>
      <c r="H125" s="1"/>
      <c r="I125" s="21"/>
      <c r="J125" s="12"/>
      <c r="K125" s="13"/>
      <c r="L125" s="13"/>
      <c r="M125" s="25"/>
    </row>
    <row r="126" spans="1:13" customFormat="1" x14ac:dyDescent="0.25">
      <c r="A126" s="177" t="s">
        <v>141</v>
      </c>
      <c r="B126" s="177"/>
      <c r="C126" s="2">
        <v>77</v>
      </c>
      <c r="D126" s="2" t="s">
        <v>102</v>
      </c>
      <c r="E126" s="2"/>
      <c r="F126" s="2">
        <v>90</v>
      </c>
      <c r="G126" s="2" t="s">
        <v>103</v>
      </c>
      <c r="H126" s="2"/>
      <c r="I126" s="22">
        <v>186.9</v>
      </c>
      <c r="J126" s="12">
        <f t="shared" si="10"/>
        <v>83160</v>
      </c>
      <c r="K126" s="13">
        <f t="shared" si="11"/>
        <v>2.8487253487253488E-3</v>
      </c>
      <c r="L126" s="13"/>
      <c r="M126" s="20">
        <f>+K126*markup</f>
        <v>8.5461760461760464E-3</v>
      </c>
    </row>
    <row r="127" spans="1:13" customFormat="1" x14ac:dyDescent="0.25">
      <c r="A127" s="178"/>
      <c r="B127" s="178"/>
      <c r="I127" s="11"/>
      <c r="J127" s="12"/>
      <c r="K127" s="13"/>
      <c r="L127" s="13"/>
      <c r="M127" s="24"/>
    </row>
    <row r="128" spans="1:13" customFormat="1" x14ac:dyDescent="0.25">
      <c r="A128" s="178"/>
      <c r="B128" s="178"/>
      <c r="I128" s="11"/>
      <c r="J128" s="12"/>
      <c r="K128" s="13"/>
      <c r="L128" s="13"/>
      <c r="M128" s="14"/>
    </row>
    <row r="129" spans="1:13" customFormat="1" ht="17.399999999999999" x14ac:dyDescent="0.3">
      <c r="A129" s="186" t="s">
        <v>142</v>
      </c>
      <c r="B129" s="179"/>
      <c r="C129" s="1"/>
      <c r="D129" s="1"/>
      <c r="E129" s="1"/>
      <c r="F129" s="1"/>
      <c r="G129" s="1"/>
      <c r="H129" s="1"/>
      <c r="I129" s="21"/>
      <c r="J129" s="12"/>
      <c r="K129" s="13"/>
      <c r="L129" s="13"/>
      <c r="M129" s="25"/>
    </row>
    <row r="130" spans="1:13" customFormat="1" x14ac:dyDescent="0.25">
      <c r="A130" s="177" t="s">
        <v>143</v>
      </c>
      <c r="B130" s="183">
        <v>0.05</v>
      </c>
      <c r="C130" s="2">
        <v>98</v>
      </c>
      <c r="D130" s="2"/>
      <c r="E130" s="2"/>
      <c r="F130" s="2">
        <f>3*32.8</f>
        <v>98.399999999999991</v>
      </c>
      <c r="G130" s="2" t="s">
        <v>103</v>
      </c>
      <c r="H130" s="2"/>
      <c r="I130" s="22">
        <f>16.79*32.8</f>
        <v>550.71199999999988</v>
      </c>
      <c r="J130" s="12">
        <f t="shared" ref="J130:J154" si="13">+C130*F130*12</f>
        <v>115718.39999999999</v>
      </c>
      <c r="K130" s="13">
        <f t="shared" ref="K130:K154" si="14">+(I130+50)/J130</f>
        <v>5.1911536972512572E-3</v>
      </c>
      <c r="L130" s="13"/>
      <c r="M130" s="20">
        <f>+K130*markup</f>
        <v>1.5573461091753771E-2</v>
      </c>
    </row>
    <row r="131" spans="1:13" customFormat="1" x14ac:dyDescent="0.25">
      <c r="A131" s="178" t="s">
        <v>144</v>
      </c>
      <c r="B131" s="178"/>
      <c r="C131">
        <v>70</v>
      </c>
      <c r="F131">
        <v>90</v>
      </c>
      <c r="G131" t="s">
        <v>103</v>
      </c>
      <c r="I131" s="11">
        <f>12.86*30</f>
        <v>385.79999999999995</v>
      </c>
      <c r="J131" s="12">
        <f t="shared" si="13"/>
        <v>75600</v>
      </c>
      <c r="K131" s="13">
        <f t="shared" si="14"/>
        <v>5.7645502645502639E-3</v>
      </c>
      <c r="L131" s="13"/>
      <c r="M131" s="20">
        <f>+K131*markup</f>
        <v>1.7293650793650792E-2</v>
      </c>
    </row>
    <row r="132" spans="1:13" customFormat="1" x14ac:dyDescent="0.25">
      <c r="A132" s="178"/>
      <c r="B132" s="178"/>
      <c r="I132" s="11"/>
      <c r="J132" s="12"/>
      <c r="K132" s="13"/>
      <c r="L132" s="13"/>
      <c r="M132" s="24"/>
    </row>
    <row r="133" spans="1:13" customFormat="1" ht="17.399999999999999" x14ac:dyDescent="0.3">
      <c r="A133" s="187" t="s">
        <v>145</v>
      </c>
      <c r="B133" s="179"/>
      <c r="C133" s="1"/>
      <c r="D133" s="1"/>
      <c r="E133" s="1"/>
      <c r="F133" s="1"/>
      <c r="G133" s="1"/>
      <c r="H133" s="1"/>
      <c r="I133" s="21"/>
      <c r="J133" s="12"/>
      <c r="K133" s="13"/>
      <c r="L133" s="13"/>
      <c r="M133" s="25"/>
    </row>
    <row r="134" spans="1:13" customFormat="1" x14ac:dyDescent="0.25">
      <c r="A134" s="179" t="s">
        <v>146</v>
      </c>
      <c r="B134" s="179" t="s">
        <v>147</v>
      </c>
      <c r="C134" s="1">
        <v>50</v>
      </c>
      <c r="D134" s="1" t="s">
        <v>102</v>
      </c>
      <c r="E134" s="1"/>
      <c r="F134" s="1">
        <v>150</v>
      </c>
      <c r="G134" s="1" t="s">
        <v>103</v>
      </c>
      <c r="H134" s="1"/>
      <c r="I134" s="21">
        <v>408</v>
      </c>
      <c r="J134" s="12">
        <f t="shared" si="13"/>
        <v>90000</v>
      </c>
      <c r="K134" s="13">
        <f t="shared" si="14"/>
        <v>5.0888888888888893E-3</v>
      </c>
      <c r="L134" s="13"/>
      <c r="M134" s="25">
        <f>+K134*markup</f>
        <v>1.5266666666666668E-2</v>
      </c>
    </row>
    <row r="135" spans="1:13" customFormat="1" x14ac:dyDescent="0.25">
      <c r="A135" s="188" t="s">
        <v>148</v>
      </c>
      <c r="B135" s="179" t="s">
        <v>147</v>
      </c>
      <c r="C135" s="1">
        <v>61</v>
      </c>
      <c r="D135" s="1" t="s">
        <v>102</v>
      </c>
      <c r="E135" s="1"/>
      <c r="F135" s="1">
        <f>60*3</f>
        <v>180</v>
      </c>
      <c r="G135" s="1" t="s">
        <v>103</v>
      </c>
      <c r="H135" s="1"/>
      <c r="I135" s="21">
        <v>395</v>
      </c>
      <c r="J135" s="12">
        <f t="shared" si="13"/>
        <v>131760</v>
      </c>
      <c r="K135" s="13">
        <f t="shared" si="14"/>
        <v>3.377352762598664E-3</v>
      </c>
      <c r="L135" s="13"/>
      <c r="M135" s="20">
        <f>+K135*markup</f>
        <v>1.0132058287795991E-2</v>
      </c>
    </row>
    <row r="136" spans="1:13" customFormat="1" x14ac:dyDescent="0.25">
      <c r="A136" s="189" t="s">
        <v>149</v>
      </c>
      <c r="B136" s="189" t="s">
        <v>134</v>
      </c>
      <c r="I136" s="11"/>
      <c r="J136" s="12"/>
      <c r="K136" s="13"/>
      <c r="L136" s="13"/>
      <c r="M136" s="24"/>
    </row>
    <row r="137" spans="1:13" customFormat="1" x14ac:dyDescent="0.25">
      <c r="A137" s="178"/>
      <c r="B137" s="178"/>
      <c r="I137" s="11"/>
      <c r="J137" s="12"/>
      <c r="K137" s="13"/>
      <c r="L137" s="13"/>
      <c r="M137" s="14"/>
    </row>
    <row r="138" spans="1:13" customFormat="1" ht="22.8" x14ac:dyDescent="0.4">
      <c r="A138" s="190" t="s">
        <v>150</v>
      </c>
      <c r="B138" s="179"/>
      <c r="C138" s="1"/>
      <c r="D138" s="1"/>
      <c r="E138" s="1"/>
      <c r="F138" s="1"/>
      <c r="G138" s="1"/>
      <c r="H138" s="1"/>
      <c r="I138" s="21"/>
      <c r="J138" s="12"/>
      <c r="K138" s="13"/>
      <c r="L138" s="13"/>
      <c r="M138" s="25"/>
    </row>
    <row r="139" spans="1:13" customFormat="1" x14ac:dyDescent="0.25">
      <c r="A139" s="179" t="s">
        <v>151</v>
      </c>
      <c r="B139" s="184">
        <v>0.05</v>
      </c>
      <c r="C139" s="1">
        <v>98</v>
      </c>
      <c r="D139" s="26" t="s">
        <v>102</v>
      </c>
      <c r="E139" s="1"/>
      <c r="F139" s="1">
        <v>99</v>
      </c>
      <c r="G139" s="1" t="s">
        <v>103</v>
      </c>
      <c r="H139" s="1"/>
      <c r="I139" s="21">
        <v>496.1</v>
      </c>
      <c r="J139" s="12">
        <f t="shared" si="13"/>
        <v>116424</v>
      </c>
      <c r="K139" s="13">
        <f t="shared" si="14"/>
        <v>4.6906136191850476E-3</v>
      </c>
      <c r="L139" s="13"/>
      <c r="M139" s="20">
        <f t="shared" ref="M139:M154" si="15">+K139*markup</f>
        <v>1.4071840857555144E-2</v>
      </c>
    </row>
    <row r="140" spans="1:13" customFormat="1" x14ac:dyDescent="0.25">
      <c r="A140" s="177" t="s">
        <v>152</v>
      </c>
      <c r="B140" s="183">
        <v>0.05</v>
      </c>
      <c r="C140" s="2">
        <v>98</v>
      </c>
      <c r="D140" s="27" t="s">
        <v>102</v>
      </c>
      <c r="E140" s="2"/>
      <c r="F140" s="2">
        <v>99</v>
      </c>
      <c r="G140" s="2" t="s">
        <v>103</v>
      </c>
      <c r="H140" s="2"/>
      <c r="I140" s="22">
        <v>505.12</v>
      </c>
      <c r="J140" s="12">
        <f t="shared" si="13"/>
        <v>116424</v>
      </c>
      <c r="K140" s="13">
        <f t="shared" si="14"/>
        <v>4.7680890538033399E-3</v>
      </c>
      <c r="L140" s="13"/>
      <c r="M140" s="20">
        <f t="shared" si="15"/>
        <v>1.430426716141002E-2</v>
      </c>
    </row>
    <row r="141" spans="1:13" customFormat="1" x14ac:dyDescent="0.25">
      <c r="A141" s="177" t="s">
        <v>153</v>
      </c>
      <c r="B141" s="183">
        <v>0.03</v>
      </c>
      <c r="C141" s="2">
        <v>98</v>
      </c>
      <c r="D141" s="27" t="s">
        <v>102</v>
      </c>
      <c r="E141" s="2"/>
      <c r="F141" s="2">
        <v>99</v>
      </c>
      <c r="G141" s="2" t="s">
        <v>103</v>
      </c>
      <c r="H141" s="2"/>
      <c r="I141" s="22">
        <v>518.65</v>
      </c>
      <c r="J141" s="12">
        <f>+C141*F141*12</f>
        <v>116424</v>
      </c>
      <c r="K141" s="13">
        <f>+(I141+50)/J141</f>
        <v>4.8843022057307771E-3</v>
      </c>
      <c r="L141" s="13"/>
      <c r="M141" s="20">
        <f t="shared" si="15"/>
        <v>1.4652906617192332E-2</v>
      </c>
    </row>
    <row r="142" spans="1:13" customFormat="1" x14ac:dyDescent="0.25">
      <c r="A142" s="177" t="s">
        <v>154</v>
      </c>
      <c r="B142" s="183">
        <v>0.03</v>
      </c>
      <c r="C142" s="2">
        <v>98</v>
      </c>
      <c r="D142" s="27" t="s">
        <v>102</v>
      </c>
      <c r="E142" s="2"/>
      <c r="F142" s="2">
        <v>99</v>
      </c>
      <c r="G142" s="2" t="s">
        <v>103</v>
      </c>
      <c r="H142" s="2"/>
      <c r="I142" s="22">
        <v>509.63</v>
      </c>
      <c r="J142" s="12">
        <f>+C142*F142*12</f>
        <v>116424</v>
      </c>
      <c r="K142" s="13">
        <f>+(I142+50)/J142</f>
        <v>4.8068267711124857E-3</v>
      </c>
      <c r="L142" s="13"/>
      <c r="M142" s="20">
        <f t="shared" si="15"/>
        <v>1.4420480313337456E-2</v>
      </c>
    </row>
    <row r="143" spans="1:13" customFormat="1" x14ac:dyDescent="0.25">
      <c r="A143" s="177" t="s">
        <v>155</v>
      </c>
      <c r="B143" s="183">
        <v>0.1</v>
      </c>
      <c r="C143" s="2">
        <v>98</v>
      </c>
      <c r="D143" s="2" t="s">
        <v>102</v>
      </c>
      <c r="E143" s="2"/>
      <c r="F143" s="2">
        <v>99</v>
      </c>
      <c r="G143" s="2" t="s">
        <v>103</v>
      </c>
      <c r="I143" s="21">
        <v>473.55</v>
      </c>
      <c r="J143" s="12">
        <f t="shared" si="13"/>
        <v>116424</v>
      </c>
      <c r="K143" s="13">
        <f t="shared" si="14"/>
        <v>4.496925032639318E-3</v>
      </c>
      <c r="L143" s="13"/>
      <c r="M143" s="20">
        <f t="shared" si="15"/>
        <v>1.3490775097917955E-2</v>
      </c>
    </row>
    <row r="144" spans="1:13" customFormat="1" x14ac:dyDescent="0.25">
      <c r="A144" s="179" t="s">
        <v>156</v>
      </c>
      <c r="B144" s="184">
        <v>0.03</v>
      </c>
      <c r="C144" s="4">
        <v>99</v>
      </c>
      <c r="D144" s="1" t="s">
        <v>102</v>
      </c>
      <c r="E144" s="26"/>
      <c r="F144" s="2">
        <v>99</v>
      </c>
      <c r="G144" s="1" t="s">
        <v>103</v>
      </c>
      <c r="H144" s="28"/>
      <c r="I144" s="22">
        <v>509.63</v>
      </c>
      <c r="J144" s="12">
        <f t="shared" si="13"/>
        <v>117612</v>
      </c>
      <c r="K144" s="13">
        <f t="shared" si="14"/>
        <v>4.7582729653436722E-3</v>
      </c>
      <c r="L144" s="13"/>
      <c r="M144" s="20">
        <f t="shared" si="15"/>
        <v>1.4274818896031017E-2</v>
      </c>
    </row>
    <row r="145" spans="1:13" customFormat="1" x14ac:dyDescent="0.25">
      <c r="A145" s="177" t="s">
        <v>157</v>
      </c>
      <c r="B145" s="183">
        <v>0.05</v>
      </c>
      <c r="C145" s="2">
        <v>98</v>
      </c>
      <c r="D145" s="27" t="s">
        <v>102</v>
      </c>
      <c r="E145" s="2"/>
      <c r="F145" s="2">
        <v>99</v>
      </c>
      <c r="G145" s="2" t="s">
        <v>103</v>
      </c>
      <c r="H145" s="2"/>
      <c r="I145" s="22">
        <v>509.63</v>
      </c>
      <c r="J145" s="12">
        <f t="shared" si="13"/>
        <v>116424</v>
      </c>
      <c r="K145" s="13">
        <f t="shared" si="14"/>
        <v>4.8068267711124857E-3</v>
      </c>
      <c r="L145" s="13"/>
      <c r="M145" s="20">
        <f t="shared" si="15"/>
        <v>1.4420480313337456E-2</v>
      </c>
    </row>
    <row r="146" spans="1:13" customFormat="1" x14ac:dyDescent="0.25">
      <c r="A146" s="177" t="s">
        <v>158</v>
      </c>
      <c r="B146" s="183">
        <v>0.05</v>
      </c>
      <c r="C146" s="2">
        <v>98</v>
      </c>
      <c r="D146" s="27" t="s">
        <v>102</v>
      </c>
      <c r="E146" s="2"/>
      <c r="F146" s="1">
        <v>99</v>
      </c>
      <c r="G146" s="1" t="s">
        <v>103</v>
      </c>
      <c r="H146" s="1"/>
      <c r="I146" s="21">
        <v>496.1</v>
      </c>
      <c r="J146" s="12">
        <f t="shared" si="13"/>
        <v>116424</v>
      </c>
      <c r="K146" s="13">
        <f t="shared" si="14"/>
        <v>4.6906136191850476E-3</v>
      </c>
      <c r="L146" s="13"/>
      <c r="M146" s="20">
        <f t="shared" si="15"/>
        <v>1.4071840857555144E-2</v>
      </c>
    </row>
    <row r="147" spans="1:13" customFormat="1" x14ac:dyDescent="0.25">
      <c r="A147" s="177" t="s">
        <v>159</v>
      </c>
      <c r="B147" s="183">
        <v>0.05</v>
      </c>
      <c r="C147" s="2">
        <v>98</v>
      </c>
      <c r="D147" s="27" t="s">
        <v>102</v>
      </c>
      <c r="E147" s="2"/>
      <c r="F147" s="1">
        <v>99</v>
      </c>
      <c r="G147" s="1" t="s">
        <v>103</v>
      </c>
      <c r="H147" s="1"/>
      <c r="I147" s="21">
        <v>541.20000000000005</v>
      </c>
      <c r="J147" s="12">
        <f t="shared" si="13"/>
        <v>116424</v>
      </c>
      <c r="K147" s="13">
        <f t="shared" si="14"/>
        <v>5.0779907922765067E-3</v>
      </c>
      <c r="L147" s="13"/>
      <c r="M147" s="20">
        <f t="shared" si="15"/>
        <v>1.5233972376829521E-2</v>
      </c>
    </row>
    <row r="148" spans="1:13" customFormat="1" x14ac:dyDescent="0.25">
      <c r="A148" s="177" t="s">
        <v>160</v>
      </c>
      <c r="B148" s="183">
        <v>0.03</v>
      </c>
      <c r="C148" s="2">
        <v>98</v>
      </c>
      <c r="D148" s="27" t="s">
        <v>102</v>
      </c>
      <c r="E148" s="2"/>
      <c r="F148" s="1">
        <v>99</v>
      </c>
      <c r="G148" s="1" t="s">
        <v>103</v>
      </c>
      <c r="H148" s="1"/>
      <c r="I148" s="21">
        <v>545.71</v>
      </c>
      <c r="J148" s="12">
        <f t="shared" si="13"/>
        <v>116424</v>
      </c>
      <c r="K148" s="13">
        <f t="shared" si="14"/>
        <v>5.1167285095856524E-3</v>
      </c>
      <c r="L148" s="13"/>
      <c r="M148" s="20">
        <f t="shared" si="15"/>
        <v>1.5350185528756957E-2</v>
      </c>
    </row>
    <row r="149" spans="1:13" customFormat="1" x14ac:dyDescent="0.25">
      <c r="A149" s="177" t="s">
        <v>161</v>
      </c>
      <c r="B149" s="183">
        <v>0.1</v>
      </c>
      <c r="C149" s="2">
        <v>98</v>
      </c>
      <c r="D149" s="27" t="s">
        <v>102</v>
      </c>
      <c r="E149" s="2"/>
      <c r="F149" s="1">
        <v>99</v>
      </c>
      <c r="G149" s="1" t="s">
        <v>103</v>
      </c>
      <c r="H149" s="1"/>
      <c r="I149" s="21">
        <v>462.53</v>
      </c>
      <c r="J149" s="12">
        <f t="shared" si="13"/>
        <v>116424</v>
      </c>
      <c r="K149" s="13">
        <f t="shared" si="14"/>
        <v>4.4022710094138665E-3</v>
      </c>
      <c r="L149" s="13"/>
      <c r="M149" s="20">
        <f t="shared" si="15"/>
        <v>1.32068130282416E-2</v>
      </c>
    </row>
    <row r="150" spans="1:13" customFormat="1" x14ac:dyDescent="0.25">
      <c r="A150" s="178" t="s">
        <v>162</v>
      </c>
      <c r="B150" s="182">
        <v>0.03</v>
      </c>
      <c r="C150" s="1">
        <v>98</v>
      </c>
      <c r="D150" s="26" t="s">
        <v>102</v>
      </c>
      <c r="E150" s="1"/>
      <c r="F150" s="2">
        <v>99</v>
      </c>
      <c r="G150" s="2" t="s">
        <v>103</v>
      </c>
      <c r="H150" s="2"/>
      <c r="I150" s="22">
        <v>500.61</v>
      </c>
      <c r="J150" s="12">
        <f t="shared" si="13"/>
        <v>116424</v>
      </c>
      <c r="K150" s="13">
        <f t="shared" si="14"/>
        <v>4.7293513364941942E-3</v>
      </c>
      <c r="L150" s="13"/>
      <c r="M150" s="20">
        <f t="shared" si="15"/>
        <v>1.4188054009482583E-2</v>
      </c>
    </row>
    <row r="151" spans="1:13" customFormat="1" x14ac:dyDescent="0.25">
      <c r="A151" s="177" t="s">
        <v>163</v>
      </c>
      <c r="B151" s="183">
        <v>0.01</v>
      </c>
      <c r="C151" s="2">
        <v>98</v>
      </c>
      <c r="D151" s="27" t="s">
        <v>102</v>
      </c>
      <c r="E151" s="2"/>
      <c r="F151" s="2">
        <v>99</v>
      </c>
      <c r="G151" s="2" t="s">
        <v>103</v>
      </c>
      <c r="H151" s="2"/>
      <c r="I151" s="22">
        <v>590.80999999999995</v>
      </c>
      <c r="J151" s="12">
        <f t="shared" si="13"/>
        <v>116424</v>
      </c>
      <c r="K151" s="13">
        <f t="shared" si="14"/>
        <v>5.5041056826771106E-3</v>
      </c>
      <c r="L151" s="13"/>
      <c r="M151" s="20">
        <f t="shared" si="15"/>
        <v>1.6512317048031331E-2</v>
      </c>
    </row>
    <row r="152" spans="1:13" customFormat="1" x14ac:dyDescent="0.25">
      <c r="A152" s="177" t="s">
        <v>164</v>
      </c>
      <c r="B152" s="183">
        <v>0.01</v>
      </c>
      <c r="C152" s="2">
        <v>98</v>
      </c>
      <c r="D152" s="27" t="s">
        <v>102</v>
      </c>
      <c r="E152" s="2"/>
      <c r="F152" s="2">
        <v>99</v>
      </c>
      <c r="G152" s="2" t="s">
        <v>103</v>
      </c>
      <c r="H152" s="2"/>
      <c r="I152" s="22">
        <v>608.85</v>
      </c>
      <c r="J152" s="12">
        <f t="shared" si="13"/>
        <v>116424</v>
      </c>
      <c r="K152" s="13">
        <f t="shared" si="14"/>
        <v>5.6590565519136953E-3</v>
      </c>
      <c r="L152" s="13"/>
      <c r="M152" s="20">
        <f t="shared" si="15"/>
        <v>1.6977169655741087E-2</v>
      </c>
    </row>
    <row r="153" spans="1:13" customFormat="1" x14ac:dyDescent="0.25">
      <c r="A153" s="177" t="s">
        <v>165</v>
      </c>
      <c r="B153" s="183">
        <v>0.03</v>
      </c>
      <c r="C153" s="2">
        <v>98</v>
      </c>
      <c r="D153" s="27" t="s">
        <v>102</v>
      </c>
      <c r="E153" s="2"/>
      <c r="F153" s="2">
        <v>99</v>
      </c>
      <c r="G153" s="2" t="s">
        <v>103</v>
      </c>
      <c r="H153" s="2"/>
      <c r="I153" s="22">
        <v>518.65</v>
      </c>
      <c r="J153" s="12">
        <f t="shared" si="13"/>
        <v>116424</v>
      </c>
      <c r="K153" s="13">
        <f t="shared" si="14"/>
        <v>4.8843022057307771E-3</v>
      </c>
      <c r="L153" s="13"/>
      <c r="M153" s="20">
        <f t="shared" si="15"/>
        <v>1.4652906617192332E-2</v>
      </c>
    </row>
    <row r="154" spans="1:13" customFormat="1" x14ac:dyDescent="0.25">
      <c r="A154" s="177" t="s">
        <v>166</v>
      </c>
      <c r="B154" s="183">
        <v>0.15</v>
      </c>
      <c r="C154" s="2">
        <v>98</v>
      </c>
      <c r="D154" s="27" t="s">
        <v>102</v>
      </c>
      <c r="E154" s="2"/>
      <c r="F154" s="2">
        <v>99</v>
      </c>
      <c r="G154" s="2" t="s">
        <v>103</v>
      </c>
      <c r="H154" s="2"/>
      <c r="I154" s="22">
        <v>451</v>
      </c>
      <c r="J154" s="12">
        <f t="shared" si="13"/>
        <v>116424</v>
      </c>
      <c r="K154" s="13">
        <f t="shared" si="14"/>
        <v>4.3032364460935894E-3</v>
      </c>
      <c r="L154" s="13"/>
      <c r="M154" s="20">
        <f t="shared" si="15"/>
        <v>1.2909709338280768E-2</v>
      </c>
    </row>
    <row r="155" spans="1:13" customFormat="1" x14ac:dyDescent="0.25">
      <c r="A155" s="178"/>
      <c r="B155" s="178"/>
      <c r="I155" s="11"/>
      <c r="J155" s="12"/>
      <c r="K155" s="13"/>
      <c r="L155" s="13"/>
      <c r="M155" s="14"/>
    </row>
    <row r="156" spans="1:13" customFormat="1" x14ac:dyDescent="0.25">
      <c r="A156" s="178"/>
      <c r="B156" s="178"/>
      <c r="I156" s="11"/>
      <c r="J156" s="12"/>
      <c r="K156" s="13"/>
      <c r="L156" s="13"/>
      <c r="M156" s="14"/>
    </row>
    <row r="157" spans="1:13" customFormat="1" x14ac:dyDescent="0.25">
      <c r="A157" s="178"/>
      <c r="B157" s="178"/>
      <c r="I157" s="11"/>
      <c r="J157" s="12"/>
      <c r="K157" s="13"/>
      <c r="L157" s="13"/>
      <c r="M157" s="14"/>
    </row>
    <row r="158" spans="1:13" customFormat="1" ht="20.399999999999999" x14ac:dyDescent="0.35">
      <c r="A158" s="191" t="s">
        <v>167</v>
      </c>
      <c r="B158" s="179"/>
      <c r="C158" s="1"/>
      <c r="D158" s="1"/>
      <c r="E158" s="1"/>
      <c r="F158" s="1"/>
      <c r="G158" s="1"/>
      <c r="H158" s="1"/>
      <c r="I158" s="21"/>
      <c r="J158" s="12"/>
      <c r="K158" s="13"/>
      <c r="L158" s="13"/>
      <c r="M158" s="14"/>
    </row>
    <row r="159" spans="1:13" customFormat="1" x14ac:dyDescent="0.25">
      <c r="A159" s="185" t="s">
        <v>168</v>
      </c>
      <c r="B159" s="185" t="s">
        <v>134</v>
      </c>
      <c r="C159" s="2">
        <v>118</v>
      </c>
      <c r="D159" s="29" t="s">
        <v>102</v>
      </c>
      <c r="E159" s="2"/>
      <c r="F159" s="29">
        <f>32.8*3</f>
        <v>98.399999999999991</v>
      </c>
      <c r="G159" s="29" t="s">
        <v>103</v>
      </c>
      <c r="H159" s="2"/>
      <c r="I159" s="22">
        <v>508.4</v>
      </c>
      <c r="J159" s="12">
        <f>+C159*F159*12</f>
        <v>139334.39999999999</v>
      </c>
      <c r="K159" s="13">
        <f>+(I159+50)/J159</f>
        <v>4.007624822010932E-3</v>
      </c>
      <c r="L159" s="13"/>
      <c r="M159" s="20">
        <f>+K159*markup</f>
        <v>1.2022874466032795E-2</v>
      </c>
    </row>
    <row r="160" spans="1:13" customFormat="1" x14ac:dyDescent="0.25">
      <c r="A160" s="185" t="s">
        <v>195</v>
      </c>
      <c r="B160" s="185" t="s">
        <v>134</v>
      </c>
      <c r="C160" s="2">
        <v>110</v>
      </c>
      <c r="D160" s="29" t="s">
        <v>102</v>
      </c>
      <c r="E160" s="2"/>
      <c r="F160" s="29">
        <f>27*3</f>
        <v>81</v>
      </c>
      <c r="G160" s="29" t="s">
        <v>103</v>
      </c>
      <c r="H160" s="2"/>
      <c r="I160" s="22">
        <v>680.67</v>
      </c>
      <c r="J160" s="12">
        <f>+C160*F160*12</f>
        <v>106920</v>
      </c>
      <c r="K160" s="13">
        <f>+(I160+50)/J160</f>
        <v>6.8338009726898611E-3</v>
      </c>
      <c r="L160" s="13"/>
      <c r="M160" s="20">
        <f>+K160*markup</f>
        <v>2.0501402918069584E-2</v>
      </c>
    </row>
    <row r="161" spans="1:2" x14ac:dyDescent="0.25">
      <c r="A161" s="192"/>
      <c r="B161" s="192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A6B41-88F2-49D5-B690-BE9558194763}">
  <dimension ref="A6:J117"/>
  <sheetViews>
    <sheetView showGridLines="0" view="pageBreakPreview" topLeftCell="A7" zoomScaleNormal="100" zoomScaleSheetLayoutView="100" workbookViewId="0">
      <selection activeCell="D38" sqref="D38"/>
    </sheetView>
  </sheetViews>
  <sheetFormatPr defaultColWidth="9.109375" defaultRowHeight="13.2" x14ac:dyDescent="0.25"/>
  <cols>
    <col min="1" max="1" width="10.44140625" style="324" customWidth="1"/>
    <col min="2" max="2" width="15.6640625" style="324" customWidth="1"/>
    <col min="3" max="3" width="7" style="324" customWidth="1"/>
    <col min="4" max="4" width="12.33203125" style="324" customWidth="1"/>
    <col min="5" max="5" width="5.33203125" style="324" customWidth="1"/>
    <col min="6" max="6" width="7.44140625" style="324" customWidth="1"/>
    <col min="7" max="7" width="5.109375" style="324" customWidth="1"/>
    <col min="8" max="8" width="13.109375" style="324" customWidth="1"/>
    <col min="9" max="9" width="6.5546875" style="328" customWidth="1"/>
    <col min="10" max="16384" width="9.109375" style="324"/>
  </cols>
  <sheetData>
    <row r="6" spans="1:9" ht="9" customHeight="1" x14ac:dyDescent="0.25"/>
    <row r="7" spans="1:9" ht="27.75" customHeight="1" x14ac:dyDescent="0.6">
      <c r="A7" s="529" t="s">
        <v>169</v>
      </c>
      <c r="B7" s="529"/>
      <c r="C7" s="529"/>
      <c r="D7" s="529"/>
      <c r="E7" s="529"/>
      <c r="F7" s="529"/>
      <c r="G7" s="529"/>
      <c r="H7" s="529"/>
      <c r="I7" s="529"/>
    </row>
    <row r="8" spans="1:9" s="419" customFormat="1" ht="10.5" customHeight="1" x14ac:dyDescent="0.25">
      <c r="A8" s="324"/>
      <c r="B8" s="324"/>
      <c r="C8" s="324"/>
      <c r="D8" s="324"/>
      <c r="E8" s="324"/>
      <c r="F8" s="324"/>
      <c r="G8" s="324"/>
      <c r="H8" s="324"/>
      <c r="I8" s="324"/>
    </row>
    <row r="9" spans="1:9" s="419" customFormat="1" ht="10.5" customHeight="1" x14ac:dyDescent="0.25">
      <c r="A9" s="324"/>
      <c r="B9" s="324"/>
      <c r="C9" s="324"/>
      <c r="D9" s="324"/>
      <c r="E9" s="324"/>
      <c r="F9" s="324"/>
      <c r="G9" s="324"/>
      <c r="H9" s="324"/>
      <c r="I9" s="324"/>
    </row>
    <row r="10" spans="1:9" s="419" customFormat="1" x14ac:dyDescent="0.25">
      <c r="A10" s="423" t="s">
        <v>198</v>
      </c>
      <c r="B10" s="424"/>
      <c r="I10" s="325"/>
    </row>
    <row r="11" spans="1:9" s="419" customFormat="1" x14ac:dyDescent="0.25">
      <c r="I11" s="325"/>
    </row>
    <row r="12" spans="1:9" s="419" customFormat="1" x14ac:dyDescent="0.25">
      <c r="E12" s="79" t="s">
        <v>213</v>
      </c>
      <c r="I12" s="325"/>
    </row>
    <row r="13" spans="1:9" s="419" customFormat="1" ht="15.6" customHeight="1" x14ac:dyDescent="0.25">
      <c r="A13" s="77" t="s">
        <v>211</v>
      </c>
      <c r="B13" s="425">
        <f>bill_name</f>
        <v>0</v>
      </c>
      <c r="E13" s="419" t="s">
        <v>214</v>
      </c>
      <c r="I13" s="325"/>
    </row>
    <row r="14" spans="1:9" s="419" customFormat="1" ht="15.6" customHeight="1" x14ac:dyDescent="0.25">
      <c r="A14" s="77" t="s">
        <v>200</v>
      </c>
      <c r="B14" s="425">
        <f>Worksheet!C6</f>
        <v>0</v>
      </c>
      <c r="E14" s="419" t="s">
        <v>215</v>
      </c>
      <c r="I14" s="325"/>
    </row>
    <row r="15" spans="1:9" s="419" customFormat="1" ht="12.75" customHeight="1" x14ac:dyDescent="0.25">
      <c r="B15" s="425">
        <f>Worksheet!C7</f>
        <v>0</v>
      </c>
      <c r="I15" s="325"/>
    </row>
    <row r="16" spans="1:9" s="419" customFormat="1" ht="15.6" customHeight="1" x14ac:dyDescent="0.25">
      <c r="I16" s="325"/>
    </row>
    <row r="17" spans="1:10" s="419" customFormat="1" ht="16.2" customHeight="1" x14ac:dyDescent="0.25">
      <c r="A17" s="419" t="s">
        <v>201</v>
      </c>
      <c r="B17" s="425">
        <f>Worksheet!C9</f>
        <v>0</v>
      </c>
      <c r="I17" s="325"/>
    </row>
    <row r="18" spans="1:10" s="419" customFormat="1" ht="16.2" customHeight="1" x14ac:dyDescent="0.25">
      <c r="B18" s="425"/>
      <c r="I18" s="325"/>
    </row>
    <row r="19" spans="1:10" s="419" customFormat="1" ht="12.75" customHeight="1" x14ac:dyDescent="0.25">
      <c r="A19" s="419" t="s">
        <v>210</v>
      </c>
      <c r="B19" s="425">
        <f>Worksheet!C12</f>
        <v>0</v>
      </c>
      <c r="I19" s="325"/>
    </row>
    <row r="20" spans="1:10" s="419" customFormat="1" ht="12.75" customHeight="1" x14ac:dyDescent="0.25">
      <c r="A20" s="419" t="s">
        <v>203</v>
      </c>
      <c r="B20" s="425">
        <f>Worksheet!C11</f>
        <v>0</v>
      </c>
      <c r="I20" s="325"/>
    </row>
    <row r="21" spans="1:10" s="419" customFormat="1" ht="12.75" customHeight="1" x14ac:dyDescent="0.25">
      <c r="A21" s="419" t="s">
        <v>209</v>
      </c>
      <c r="B21" s="425">
        <f>Worksheet!C10</f>
        <v>0</v>
      </c>
      <c r="I21" s="325"/>
    </row>
    <row r="22" spans="1:10" s="419" customFormat="1" ht="12.75" customHeight="1" x14ac:dyDescent="0.25">
      <c r="I22" s="325"/>
    </row>
    <row r="23" spans="1:10" s="419" customFormat="1" ht="15.6" x14ac:dyDescent="0.3">
      <c r="A23" s="426" t="s">
        <v>199</v>
      </c>
      <c r="B23" s="426" t="str">
        <f>jobname</f>
        <v>Cottonwood Creek WO#I5187109-00104</v>
      </c>
      <c r="I23" s="325"/>
    </row>
    <row r="24" spans="1:10" s="419" customFormat="1" ht="9" customHeight="1" x14ac:dyDescent="0.25">
      <c r="I24" s="325"/>
    </row>
    <row r="25" spans="1:10" s="419" customFormat="1" x14ac:dyDescent="0.25">
      <c r="B25" s="419" t="s">
        <v>170</v>
      </c>
      <c r="I25" s="325"/>
    </row>
    <row r="26" spans="1:10" s="419" customFormat="1" ht="9.75" customHeight="1" x14ac:dyDescent="0.25">
      <c r="I26" s="325"/>
    </row>
    <row r="27" spans="1:10" s="419" customFormat="1" x14ac:dyDescent="0.25">
      <c r="B27" s="427"/>
      <c r="C27" s="427"/>
      <c r="D27" s="427"/>
      <c r="E27" s="427"/>
      <c r="F27" s="427"/>
      <c r="G27" s="427"/>
      <c r="I27" s="325"/>
    </row>
    <row r="28" spans="1:10" s="419" customFormat="1" x14ac:dyDescent="0.25">
      <c r="B28" s="30" t="s">
        <v>171</v>
      </c>
      <c r="D28" s="428"/>
      <c r="E28" s="428"/>
      <c r="F28" s="428"/>
      <c r="G28" s="427"/>
      <c r="I28" s="325"/>
    </row>
    <row r="29" spans="1:10" s="419" customFormat="1" x14ac:dyDescent="0.25">
      <c r="I29" s="325"/>
      <c r="J29" s="325"/>
    </row>
    <row r="30" spans="1:10" s="419" customFormat="1" x14ac:dyDescent="0.25">
      <c r="B30" s="30" t="s">
        <v>196</v>
      </c>
      <c r="I30" s="325"/>
      <c r="J30" s="325"/>
    </row>
    <row r="31" spans="1:10" s="419" customFormat="1" x14ac:dyDescent="0.25">
      <c r="I31" s="325"/>
      <c r="J31" s="325"/>
    </row>
    <row r="32" spans="1:10" s="419" customFormat="1" x14ac:dyDescent="0.25">
      <c r="B32" s="30" t="s">
        <v>197</v>
      </c>
      <c r="I32" s="325"/>
      <c r="J32" s="325"/>
    </row>
    <row r="33" spans="1:10" s="419" customFormat="1" x14ac:dyDescent="0.25">
      <c r="I33" s="325"/>
      <c r="J33" s="325"/>
    </row>
    <row r="34" spans="1:10" s="419" customFormat="1" x14ac:dyDescent="0.25">
      <c r="I34" s="325"/>
      <c r="J34" s="325"/>
    </row>
    <row r="35" spans="1:10" s="419" customFormat="1" x14ac:dyDescent="0.25">
      <c r="I35" s="325"/>
    </row>
    <row r="36" spans="1:10" s="419" customFormat="1" x14ac:dyDescent="0.25">
      <c r="B36" s="326" t="s">
        <v>2606</v>
      </c>
      <c r="C36" s="530" t="s">
        <v>2600</v>
      </c>
      <c r="D36" s="530"/>
      <c r="E36" s="530"/>
      <c r="F36" s="530"/>
      <c r="G36" s="324"/>
      <c r="H36" s="324"/>
      <c r="I36" s="325"/>
    </row>
    <row r="37" spans="1:10" s="419" customFormat="1" x14ac:dyDescent="0.25">
      <c r="I37" s="325"/>
    </row>
    <row r="38" spans="1:10" ht="15" x14ac:dyDescent="0.25">
      <c r="A38" s="31"/>
      <c r="B38" s="324" t="s">
        <v>172</v>
      </c>
      <c r="C38" s="31"/>
      <c r="D38" s="327">
        <f>Worksheet!AA45</f>
        <v>1764.2404166666668</v>
      </c>
    </row>
    <row r="39" spans="1:10" ht="15" x14ac:dyDescent="0.25">
      <c r="A39" s="31"/>
      <c r="B39" s="324" t="s">
        <v>173</v>
      </c>
      <c r="C39" s="329">
        <f>Worksheet!AJ39</f>
        <v>0</v>
      </c>
      <c r="D39" s="330"/>
      <c r="E39" s="429"/>
      <c r="F39" s="429" t="s">
        <v>212</v>
      </c>
      <c r="G39" s="331"/>
    </row>
    <row r="40" spans="1:10" ht="15" x14ac:dyDescent="0.25">
      <c r="A40" s="31"/>
      <c r="B40" s="31"/>
      <c r="C40" s="31"/>
      <c r="D40" s="32">
        <f>SUM(D38:D39)</f>
        <v>1764.2404166666668</v>
      </c>
    </row>
    <row r="41" spans="1:10" x14ac:dyDescent="0.25">
      <c r="A41" s="430" t="s">
        <v>2621</v>
      </c>
      <c r="D41" s="431"/>
      <c r="E41" s="431"/>
      <c r="F41" s="431"/>
      <c r="G41" s="431"/>
    </row>
    <row r="42" spans="1:10" x14ac:dyDescent="0.25">
      <c r="C42" s="431"/>
      <c r="D42" s="431"/>
      <c r="E42" s="431"/>
      <c r="F42" s="431"/>
      <c r="G42" s="431"/>
    </row>
    <row r="43" spans="1:10" x14ac:dyDescent="0.25">
      <c r="B43" s="332" t="s">
        <v>2607</v>
      </c>
    </row>
    <row r="44" spans="1:10" x14ac:dyDescent="0.25">
      <c r="A44" s="33"/>
      <c r="B44" s="324" t="s">
        <v>2608</v>
      </c>
    </row>
    <row r="45" spans="1:10" x14ac:dyDescent="0.25">
      <c r="B45" s="324" t="s">
        <v>174</v>
      </c>
    </row>
    <row r="48" spans="1:10" x14ac:dyDescent="0.25">
      <c r="A48" s="324" t="s">
        <v>175</v>
      </c>
      <c r="E48" s="354" t="s">
        <v>2588</v>
      </c>
      <c r="F48" s="354"/>
      <c r="G48" s="354"/>
    </row>
    <row r="49" spans="1:8" x14ac:dyDescent="0.25">
      <c r="E49" s="354"/>
      <c r="F49" s="354"/>
      <c r="G49" s="354"/>
    </row>
    <row r="51" spans="1:8" x14ac:dyDescent="0.25">
      <c r="A51" s="333"/>
      <c r="B51" s="333"/>
      <c r="C51" s="333"/>
      <c r="E51" s="531"/>
      <c r="F51" s="531"/>
      <c r="G51" s="531"/>
      <c r="H51" s="531"/>
    </row>
    <row r="52" spans="1:8" ht="20.100000000000001" customHeight="1" x14ac:dyDescent="0.25">
      <c r="A52" s="334"/>
      <c r="E52" s="354"/>
      <c r="F52" s="354"/>
      <c r="G52" s="354"/>
    </row>
    <row r="53" spans="1:8" ht="13.2" customHeight="1" x14ac:dyDescent="0.25">
      <c r="A53" s="324" t="s">
        <v>207</v>
      </c>
      <c r="E53" s="354" t="s">
        <v>2609</v>
      </c>
      <c r="F53" s="354"/>
      <c r="G53" s="354"/>
    </row>
    <row r="54" spans="1:8" x14ac:dyDescent="0.25">
      <c r="A54" s="324" t="s">
        <v>176</v>
      </c>
      <c r="F54" s="354"/>
      <c r="G54" s="354"/>
    </row>
    <row r="55" spans="1:8" x14ac:dyDescent="0.25">
      <c r="A55" s="76" t="s">
        <v>208</v>
      </c>
      <c r="E55" s="354"/>
    </row>
    <row r="56" spans="1:8" x14ac:dyDescent="0.25">
      <c r="B56" s="532" t="s">
        <v>2622</v>
      </c>
      <c r="C56" s="532"/>
      <c r="D56" s="532"/>
      <c r="E56" s="532"/>
      <c r="F56" s="532"/>
      <c r="G56" s="532"/>
      <c r="H56" s="532"/>
    </row>
    <row r="57" spans="1:8" x14ac:dyDescent="0.25">
      <c r="B57" s="532"/>
      <c r="C57" s="532"/>
      <c r="D57" s="532"/>
      <c r="E57" s="532"/>
      <c r="F57" s="532"/>
      <c r="G57" s="532"/>
      <c r="H57" s="532"/>
    </row>
    <row r="58" spans="1:8" x14ac:dyDescent="0.25">
      <c r="C58" s="332"/>
      <c r="G58" s="332"/>
    </row>
    <row r="60" spans="1:8" x14ac:dyDescent="0.25">
      <c r="B60" s="332"/>
      <c r="F60" s="332"/>
    </row>
    <row r="62" spans="1:8" x14ac:dyDescent="0.25">
      <c r="C62" s="432"/>
      <c r="E62" s="332"/>
    </row>
    <row r="64" spans="1:8" x14ac:dyDescent="0.25">
      <c r="C64" s="332"/>
    </row>
    <row r="66" spans="3:7" x14ac:dyDescent="0.25">
      <c r="C66" s="30"/>
      <c r="E66" s="332"/>
    </row>
    <row r="68" spans="3:7" x14ac:dyDescent="0.25">
      <c r="C68" s="332"/>
    </row>
    <row r="69" spans="3:7" x14ac:dyDescent="0.25">
      <c r="C69" s="332"/>
    </row>
    <row r="70" spans="3:7" x14ac:dyDescent="0.25">
      <c r="C70" s="332"/>
    </row>
    <row r="71" spans="3:7" x14ac:dyDescent="0.25">
      <c r="C71" s="332"/>
    </row>
    <row r="72" spans="3:7" x14ac:dyDescent="0.25">
      <c r="C72" s="332"/>
    </row>
    <row r="73" spans="3:7" x14ac:dyDescent="0.25">
      <c r="C73" s="332"/>
    </row>
    <row r="74" spans="3:7" x14ac:dyDescent="0.25">
      <c r="C74" s="332"/>
    </row>
    <row r="76" spans="3:7" x14ac:dyDescent="0.25">
      <c r="C76" s="433"/>
      <c r="D76" s="332"/>
      <c r="E76" s="433"/>
      <c r="G76" s="332"/>
    </row>
    <row r="82" spans="2:2" x14ac:dyDescent="0.25">
      <c r="B82" s="324" t="s">
        <v>2600</v>
      </c>
    </row>
    <row r="83" spans="2:2" x14ac:dyDescent="0.25">
      <c r="B83" s="324" t="s">
        <v>2601</v>
      </c>
    </row>
    <row r="84" spans="2:2" x14ac:dyDescent="0.25">
      <c r="B84" s="324" t="s">
        <v>2602</v>
      </c>
    </row>
    <row r="85" spans="2:2" x14ac:dyDescent="0.25">
      <c r="B85" s="324" t="s">
        <v>2603</v>
      </c>
    </row>
    <row r="86" spans="2:2" x14ac:dyDescent="0.25">
      <c r="B86" s="324" t="s">
        <v>2604</v>
      </c>
    </row>
    <row r="87" spans="2:2" x14ac:dyDescent="0.25">
      <c r="B87" s="324" t="s">
        <v>2605</v>
      </c>
    </row>
    <row r="112" spans="5:8" x14ac:dyDescent="0.25">
      <c r="E112" s="332"/>
      <c r="H112" s="332"/>
    </row>
    <row r="114" spans="1:2" x14ac:dyDescent="0.25">
      <c r="B114" s="332"/>
    </row>
    <row r="117" spans="1:2" ht="17.399999999999999" x14ac:dyDescent="0.3">
      <c r="A117" s="434"/>
    </row>
  </sheetData>
  <mergeCells count="4">
    <mergeCell ref="A7:I7"/>
    <mergeCell ref="C36:F36"/>
    <mergeCell ref="E51:H51"/>
    <mergeCell ref="B56:H57"/>
  </mergeCells>
  <dataValidations count="1">
    <dataValidation type="list" allowBlank="1" showInputMessage="1" showErrorMessage="1" sqref="C36:F36" xr:uid="{6B54BA00-A4A5-491F-A9F4-DC2B14F17429}">
      <formula1>$B$82:$B$87</formula1>
    </dataValidation>
  </dataValidations>
  <hyperlinks>
    <hyperlink ref="A55" r:id="rId1" display="neil@coltoninc.com" xr:uid="{7F5F0714-3421-4CC6-A55B-36FFCA79DE5A}"/>
  </hyperlinks>
  <printOptions gridLinesSet="0"/>
  <pageMargins left="0.97" right="0.69" top="0.5" bottom="0.5" header="0.5" footer="0.5"/>
  <pageSetup scale="95" orientation="portrait" horizontalDpi="1200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71E2-AC82-4218-B5AE-C00A15D1BC80}">
  <dimension ref="A1:BV58"/>
  <sheetViews>
    <sheetView showGridLines="0" view="pageBreakPreview" topLeftCell="I1" zoomScale="90" zoomScaleNormal="100" zoomScaleSheetLayoutView="90" workbookViewId="0">
      <selection activeCell="AA2" sqref="AA2"/>
    </sheetView>
  </sheetViews>
  <sheetFormatPr defaultColWidth="8.88671875" defaultRowHeight="13.2" x14ac:dyDescent="0.25"/>
  <cols>
    <col min="2" max="2" width="9.5546875" style="35" customWidth="1"/>
    <col min="3" max="3" width="16" customWidth="1"/>
    <col min="4" max="4" width="3.109375" style="8" customWidth="1"/>
    <col min="5" max="5" width="8" customWidth="1"/>
    <col min="6" max="6" width="7" style="5" customWidth="1"/>
    <col min="7" max="7" width="2.109375" customWidth="1"/>
    <col min="8" max="8" width="8.5546875" style="6" customWidth="1"/>
    <col min="9" max="9" width="3.44140625" customWidth="1"/>
    <col min="10" max="10" width="5.109375" customWidth="1"/>
    <col min="11" max="11" width="7.44140625" customWidth="1"/>
    <col min="12" max="12" width="6.44140625" customWidth="1"/>
    <col min="13" max="13" width="24.109375" customWidth="1"/>
    <col min="14" max="14" width="28" customWidth="1"/>
    <col min="15" max="15" width="5.109375" customWidth="1"/>
    <col min="16" max="16" width="6.6640625" customWidth="1"/>
    <col min="17" max="17" width="7.5546875" customWidth="1"/>
    <col min="18" max="18" width="6.33203125" customWidth="1"/>
    <col min="19" max="19" width="13.5546875" style="37" customWidth="1"/>
    <col min="20" max="20" width="12.6640625" style="37" customWidth="1"/>
    <col min="21" max="21" width="14.88671875" style="37" customWidth="1"/>
    <col min="22" max="22" width="13.109375" style="37" bestFit="1" customWidth="1"/>
    <col min="23" max="23" width="15.5546875" style="37" bestFit="1" customWidth="1"/>
    <col min="24" max="24" width="13.109375" style="37" customWidth="1"/>
    <col min="25" max="25" width="14.33203125" style="37" customWidth="1"/>
    <col min="26" max="26" width="13.5546875" style="37" customWidth="1"/>
    <col min="27" max="27" width="16.44140625" style="37" customWidth="1"/>
    <col min="28" max="28" width="11.88671875" customWidth="1"/>
    <col min="29" max="29" width="4.5546875" customWidth="1"/>
    <col min="30" max="30" width="11.44140625" customWidth="1"/>
    <col min="31" max="31" width="10.109375" customWidth="1"/>
    <col min="32" max="32" width="14.44140625" customWidth="1"/>
    <col min="33" max="33" width="12.6640625" customWidth="1"/>
    <col min="34" max="35" width="11.88671875" customWidth="1"/>
    <col min="37" max="37" width="2.88671875" customWidth="1"/>
    <col min="38" max="38" width="16.33203125" customWidth="1"/>
    <col min="39" max="39" width="19.88671875" style="8" customWidth="1"/>
    <col min="40" max="40" width="4.44140625" style="8" customWidth="1"/>
    <col min="41" max="41" width="5.109375" style="8" customWidth="1"/>
    <col min="42" max="42" width="17.5546875" style="8" customWidth="1"/>
    <col min="43" max="43" width="6.33203125" style="8" customWidth="1"/>
    <col min="44" max="44" width="17.5546875" style="8" customWidth="1"/>
    <col min="45" max="45" width="5.88671875" style="8" customWidth="1"/>
    <col min="46" max="46" width="18.5546875" style="8" customWidth="1"/>
    <col min="47" max="47" width="5" style="8" customWidth="1"/>
    <col min="48" max="48" width="16.44140625" style="8" customWidth="1"/>
    <col min="49" max="49" width="2.5546875" style="8" customWidth="1"/>
    <col min="50" max="50" width="25.109375" style="8" customWidth="1"/>
    <col min="51" max="51" width="16.109375" style="8" customWidth="1"/>
    <col min="52" max="52" width="3" style="8" customWidth="1"/>
    <col min="53" max="53" width="3.88671875" style="8" customWidth="1"/>
    <col min="54" max="54" width="16.6640625" customWidth="1"/>
    <col min="56" max="56" width="6.109375" customWidth="1"/>
  </cols>
  <sheetData>
    <row r="1" spans="1:56" ht="7.5" customHeight="1" x14ac:dyDescent="0.25"/>
    <row r="2" spans="1:56" ht="25.2" thickBot="1" x14ac:dyDescent="0.45">
      <c r="J2" s="36" t="s">
        <v>86</v>
      </c>
      <c r="O2" s="503"/>
      <c r="P2" s="550"/>
      <c r="Q2" s="550"/>
      <c r="Y2" s="37" t="s">
        <v>30</v>
      </c>
      <c r="AA2" s="523">
        <v>33303</v>
      </c>
      <c r="AP2" s="543" t="s">
        <v>2581</v>
      </c>
      <c r="AQ2" s="543"/>
      <c r="AR2" s="543"/>
      <c r="AS2" s="543"/>
      <c r="AT2" s="543"/>
      <c r="AU2" s="543"/>
    </row>
    <row r="3" spans="1:56" ht="16.5" customHeight="1" thickBot="1" x14ac:dyDescent="0.35">
      <c r="B3" s="38"/>
      <c r="K3" s="39" t="str">
        <f>IF(O12,"*Final Measurements*","")</f>
        <v/>
      </c>
      <c r="N3" s="522" t="s">
        <v>2658</v>
      </c>
      <c r="O3" s="553"/>
      <c r="P3" s="554"/>
      <c r="S3" s="34"/>
      <c r="T3" s="34" t="s">
        <v>7</v>
      </c>
      <c r="U3" s="34"/>
      <c r="V3" s="34"/>
    </row>
    <row r="4" spans="1:56" ht="12" customHeight="1" thickBot="1" x14ac:dyDescent="0.3">
      <c r="D4" s="40"/>
      <c r="N4" s="231"/>
      <c r="O4" s="232"/>
      <c r="P4" s="231"/>
      <c r="Q4" s="231"/>
      <c r="S4" s="34"/>
      <c r="T4" s="34"/>
      <c r="U4" s="34"/>
      <c r="V4" s="34"/>
      <c r="Z4" s="41"/>
      <c r="AA4" s="108"/>
    </row>
    <row r="5" spans="1:56" ht="13.5" customHeight="1" thickBot="1" x14ac:dyDescent="0.35">
      <c r="B5" s="41" t="s">
        <v>0</v>
      </c>
      <c r="C5" s="524" t="s">
        <v>2659</v>
      </c>
      <c r="D5" s="307"/>
      <c r="E5" s="307"/>
      <c r="F5" s="307"/>
      <c r="G5" s="307"/>
      <c r="H5"/>
      <c r="I5" s="41" t="s">
        <v>1</v>
      </c>
      <c r="J5" s="525" t="s">
        <v>2660</v>
      </c>
      <c r="K5" s="308"/>
      <c r="L5" s="308"/>
      <c r="M5" s="309"/>
      <c r="N5" s="233" t="s">
        <v>2544</v>
      </c>
      <c r="O5" s="313">
        <v>1</v>
      </c>
      <c r="P5" s="234"/>
      <c r="Q5" s="235"/>
      <c r="S5" s="42" t="s">
        <v>0</v>
      </c>
      <c r="T5" s="226" t="str">
        <f>IF(C5="","",C5)</f>
        <v>JLL</v>
      </c>
      <c r="U5" s="227"/>
      <c r="V5" s="227"/>
      <c r="W5" s="44"/>
      <c r="X5" s="34" t="s">
        <v>2552</v>
      </c>
      <c r="Z5" s="511" t="s">
        <v>2640</v>
      </c>
      <c r="AA5" s="222">
        <v>16</v>
      </c>
    </row>
    <row r="6" spans="1:56" ht="13.5" customHeight="1" thickBot="1" x14ac:dyDescent="0.35">
      <c r="B6"/>
      <c r="C6" s="414"/>
      <c r="D6" s="310"/>
      <c r="E6" s="310"/>
      <c r="F6" s="311"/>
      <c r="G6" s="311"/>
      <c r="H6"/>
      <c r="J6" s="526" t="s">
        <v>2661</v>
      </c>
      <c r="K6" s="308"/>
      <c r="L6" s="308"/>
      <c r="M6" s="308"/>
      <c r="N6" s="234"/>
      <c r="O6" s="236"/>
      <c r="P6" s="236"/>
      <c r="Q6" s="108"/>
      <c r="S6" s="34"/>
      <c r="T6" s="228"/>
      <c r="U6" s="229"/>
      <c r="V6" s="229"/>
      <c r="X6" s="304">
        <v>2.5000000000000001E-2</v>
      </c>
      <c r="Y6" s="322" t="s">
        <v>2669</v>
      </c>
      <c r="Z6" s="511" t="s">
        <v>2639</v>
      </c>
      <c r="AA6" s="222">
        <v>13</v>
      </c>
    </row>
    <row r="7" spans="1:56" ht="13.5" customHeight="1" thickBot="1" x14ac:dyDescent="0.35">
      <c r="B7"/>
      <c r="C7" s="415"/>
      <c r="D7" s="311"/>
      <c r="E7" s="311"/>
      <c r="F7" s="311"/>
      <c r="G7" s="311"/>
      <c r="H7"/>
      <c r="J7" s="526" t="s">
        <v>2662</v>
      </c>
      <c r="K7" s="308"/>
      <c r="L7" s="308"/>
      <c r="M7" s="308"/>
      <c r="N7" s="303" t="s">
        <v>2589</v>
      </c>
      <c r="O7" s="544"/>
      <c r="P7" s="545"/>
      <c r="Q7" s="108"/>
      <c r="S7" s="41" t="s">
        <v>1</v>
      </c>
      <c r="T7" s="226" t="str">
        <f>IF(J5="","",J5)</f>
        <v>Cottonwood Creek WO#I5187109-00104</v>
      </c>
      <c r="U7" s="227"/>
      <c r="V7" s="227"/>
      <c r="X7" s="304">
        <v>1.4999999999999999E-2</v>
      </c>
      <c r="Y7" s="322" t="s">
        <v>2548</v>
      </c>
      <c r="Z7" s="305" t="s">
        <v>2553</v>
      </c>
      <c r="AA7" s="222">
        <v>13</v>
      </c>
    </row>
    <row r="8" spans="1:56" ht="13.5" customHeight="1" thickBot="1" x14ac:dyDescent="0.35">
      <c r="B8" s="41" t="s">
        <v>193</v>
      </c>
      <c r="C8" s="108"/>
      <c r="D8" s="108"/>
      <c r="E8" s="108"/>
      <c r="F8" s="108"/>
      <c r="G8" s="108"/>
      <c r="H8" s="41"/>
      <c r="I8" s="41" t="s">
        <v>192</v>
      </c>
      <c r="J8" s="527" t="s">
        <v>2663</v>
      </c>
      <c r="K8" s="108"/>
      <c r="L8" s="108"/>
      <c r="M8" s="108"/>
      <c r="N8" s="234"/>
      <c r="O8" s="236"/>
      <c r="P8" s="236"/>
      <c r="Q8" s="108"/>
      <c r="S8" s="34"/>
      <c r="T8" s="226" t="str">
        <f>IF(J6="","",J6)</f>
        <v>1800 W 1800 N</v>
      </c>
      <c r="U8" s="230"/>
      <c r="V8" s="230"/>
      <c r="X8" s="304"/>
      <c r="Y8" s="322" t="s">
        <v>2549</v>
      </c>
      <c r="Z8" s="306"/>
      <c r="AA8" s="223" t="b">
        <v>1</v>
      </c>
    </row>
    <row r="9" spans="1:56" ht="13.5" customHeight="1" thickBot="1" x14ac:dyDescent="0.3">
      <c r="B9" s="41" t="s">
        <v>11</v>
      </c>
      <c r="C9" s="413"/>
      <c r="D9" s="307"/>
      <c r="E9" s="307"/>
      <c r="F9" s="307"/>
      <c r="G9" s="307"/>
      <c r="H9" s="41"/>
      <c r="I9" s="41" t="s">
        <v>11</v>
      </c>
      <c r="J9" s="416"/>
      <c r="K9" s="308"/>
      <c r="L9" s="308"/>
      <c r="M9" s="308"/>
      <c r="N9" s="234"/>
      <c r="O9" s="234">
        <v>1</v>
      </c>
      <c r="P9" s="234"/>
      <c r="Q9" s="235"/>
      <c r="S9" s="34"/>
      <c r="T9" s="226" t="str">
        <f>IF(J7="","",J7)</f>
        <v>Farr West, UT 84404</v>
      </c>
      <c r="U9" s="230"/>
      <c r="V9" s="230"/>
      <c r="X9" s="304"/>
      <c r="Y9" s="322" t="s">
        <v>2550</v>
      </c>
      <c r="Z9" s="43" t="s">
        <v>173</v>
      </c>
      <c r="AA9" s="224">
        <v>0</v>
      </c>
    </row>
    <row r="10" spans="1:56" ht="13.5" customHeight="1" thickBot="1" x14ac:dyDescent="0.3">
      <c r="B10" s="41" t="s">
        <v>5</v>
      </c>
      <c r="C10" s="413"/>
      <c r="D10" s="307"/>
      <c r="E10" s="307"/>
      <c r="F10" s="307"/>
      <c r="G10" s="307"/>
      <c r="H10" s="41"/>
      <c r="I10" s="41" t="s">
        <v>5</v>
      </c>
      <c r="J10" s="308"/>
      <c r="K10" s="308"/>
      <c r="L10" s="308"/>
      <c r="M10" s="308"/>
      <c r="N10" s="234"/>
      <c r="O10" s="236"/>
      <c r="P10" s="236"/>
      <c r="Q10" s="108"/>
      <c r="W10" s="44"/>
      <c r="Z10" s="44" t="s">
        <v>188</v>
      </c>
      <c r="AA10" s="507" t="str">
        <f>M42</f>
        <v>Doyle</v>
      </c>
      <c r="AK10" s="546" t="s">
        <v>2587</v>
      </c>
      <c r="AL10" s="546"/>
      <c r="AM10" s="546"/>
      <c r="AN10" s="546"/>
    </row>
    <row r="11" spans="1:56" ht="13.5" customHeight="1" thickBot="1" x14ac:dyDescent="0.3">
      <c r="B11" s="78" t="s">
        <v>203</v>
      </c>
      <c r="C11" s="311"/>
      <c r="D11" s="311"/>
      <c r="E11" s="311"/>
      <c r="F11" s="311"/>
      <c r="G11" s="311"/>
      <c r="H11" s="41"/>
      <c r="I11" s="78" t="s">
        <v>203</v>
      </c>
      <c r="J11" s="308"/>
      <c r="K11" s="308"/>
      <c r="L11" s="308"/>
      <c r="M11" s="308"/>
      <c r="N11" s="234"/>
      <c r="O11" s="236"/>
      <c r="P11" s="236"/>
      <c r="Q11" s="108"/>
      <c r="Z11" s="44" t="s">
        <v>9</v>
      </c>
      <c r="AA11" s="225"/>
      <c r="AK11" s="546"/>
      <c r="AL11" s="546"/>
      <c r="AM11" s="546"/>
      <c r="AN11" s="546"/>
    </row>
    <row r="12" spans="1:56" ht="13.5" customHeight="1" thickBot="1" x14ac:dyDescent="0.3">
      <c r="B12" s="41" t="s">
        <v>187</v>
      </c>
      <c r="C12" s="312"/>
      <c r="D12" s="307"/>
      <c r="E12" s="307"/>
      <c r="F12" s="307"/>
      <c r="G12" s="307"/>
      <c r="H12" s="41"/>
      <c r="I12" s="41" t="s">
        <v>187</v>
      </c>
      <c r="J12" s="308"/>
      <c r="K12" s="308"/>
      <c r="L12" s="308"/>
      <c r="M12" s="308"/>
      <c r="N12" s="236"/>
      <c r="O12" s="237" t="b">
        <v>0</v>
      </c>
      <c r="P12" s="237"/>
      <c r="Q12" s="238"/>
      <c r="U12" s="45"/>
      <c r="V12" s="45"/>
      <c r="Z12" s="44" t="s">
        <v>10</v>
      </c>
      <c r="AA12" s="225"/>
      <c r="AK12" s="546"/>
      <c r="AL12" s="546"/>
      <c r="AM12" s="546"/>
      <c r="AN12" s="546"/>
    </row>
    <row r="13" spans="1:56" ht="12.75" customHeight="1" thickBot="1" x14ac:dyDescent="0.3">
      <c r="J13" s="555"/>
      <c r="K13" s="556"/>
      <c r="L13" s="556"/>
      <c r="M13" s="556"/>
      <c r="N13" s="122"/>
      <c r="O13" s="123"/>
      <c r="P13" s="123"/>
      <c r="Q13" s="106" t="s">
        <v>2590</v>
      </c>
      <c r="U13" s="45"/>
      <c r="V13" s="45"/>
      <c r="W13" s="45"/>
      <c r="X13" s="45"/>
      <c r="Y13" s="34" t="s">
        <v>2638</v>
      </c>
      <c r="AD13" s="552" t="s">
        <v>2651</v>
      </c>
      <c r="AE13" s="552"/>
      <c r="AF13" s="552"/>
      <c r="AG13" s="552"/>
      <c r="AH13" s="552"/>
      <c r="AV13" s="248"/>
    </row>
    <row r="14" spans="1:56" ht="12.75" customHeight="1" thickBot="1" x14ac:dyDescent="0.35">
      <c r="I14" s="46" t="s">
        <v>76</v>
      </c>
      <c r="J14" s="46" t="s">
        <v>13</v>
      </c>
      <c r="K14" s="46" t="s">
        <v>80</v>
      </c>
      <c r="L14" s="129" t="s">
        <v>16</v>
      </c>
      <c r="M14" s="46" t="s">
        <v>18</v>
      </c>
      <c r="O14" s="120"/>
      <c r="P14" s="106" t="s">
        <v>205</v>
      </c>
      <c r="Q14" s="106" t="s">
        <v>250</v>
      </c>
      <c r="Y14" s="510">
        <v>28</v>
      </c>
      <c r="AD14" s="552"/>
      <c r="AE14" s="552"/>
      <c r="AF14" s="552"/>
      <c r="AG14" s="552"/>
      <c r="AH14" s="552"/>
      <c r="AK14" s="245"/>
      <c r="AL14" s="68"/>
      <c r="AM14" s="260"/>
      <c r="AN14" s="260"/>
      <c r="AO14" s="261"/>
      <c r="AP14" s="260"/>
      <c r="AQ14" s="291"/>
      <c r="AR14" s="269"/>
      <c r="AS14" s="261"/>
      <c r="AT14" s="260"/>
      <c r="AU14" s="260"/>
      <c r="AV14" s="261"/>
      <c r="AW14" s="261"/>
      <c r="AX14" s="547"/>
      <c r="AY14" s="547"/>
      <c r="AZ14" s="548"/>
      <c r="BA14" s="335"/>
      <c r="BB14" s="336"/>
      <c r="BC14" s="68"/>
      <c r="BD14" s="337"/>
    </row>
    <row r="15" spans="1:56" ht="13.65" customHeight="1" x14ac:dyDescent="0.3">
      <c r="C15" s="46" t="s">
        <v>2</v>
      </c>
      <c r="D15" s="47" t="s">
        <v>12</v>
      </c>
      <c r="E15" s="129" t="s">
        <v>2511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249</v>
      </c>
      <c r="O15" s="121" t="s">
        <v>248</v>
      </c>
      <c r="P15" s="107" t="s">
        <v>206</v>
      </c>
      <c r="Q15" s="107" t="s">
        <v>13</v>
      </c>
      <c r="R15" s="46"/>
      <c r="S15" s="51" t="s">
        <v>2595</v>
      </c>
      <c r="T15" s="52" t="s">
        <v>19</v>
      </c>
      <c r="U15" s="53" t="s">
        <v>2596</v>
      </c>
      <c r="V15" s="53" t="s">
        <v>80</v>
      </c>
      <c r="W15" s="53" t="s">
        <v>2597</v>
      </c>
      <c r="X15" s="317" t="s">
        <v>2545</v>
      </c>
      <c r="Y15" s="52" t="s">
        <v>2598</v>
      </c>
      <c r="Z15" s="54" t="s">
        <v>58</v>
      </c>
      <c r="AA15" s="52"/>
      <c r="AD15" s="117" t="s">
        <v>2652</v>
      </c>
      <c r="AE15" s="117" t="s">
        <v>2653</v>
      </c>
      <c r="AF15" s="117" t="s">
        <v>2654</v>
      </c>
      <c r="AG15" s="117" t="s">
        <v>2655</v>
      </c>
      <c r="AH15" s="117" t="s">
        <v>2656</v>
      </c>
      <c r="AK15" s="246"/>
      <c r="AM15" s="249" t="s">
        <v>2546</v>
      </c>
      <c r="AN15" s="249"/>
      <c r="AO15" s="262"/>
      <c r="AP15" s="346" t="s">
        <v>2564</v>
      </c>
      <c r="AQ15" s="292"/>
      <c r="AR15" s="270" t="s">
        <v>2539</v>
      </c>
      <c r="AS15" s="273"/>
      <c r="AT15" s="272" t="s">
        <v>2616</v>
      </c>
      <c r="AU15" s="268"/>
      <c r="AV15" s="262" t="s">
        <v>2543</v>
      </c>
      <c r="AW15" s="262"/>
      <c r="AX15" s="249" t="s">
        <v>2541</v>
      </c>
      <c r="AY15" s="249"/>
      <c r="AZ15" s="279"/>
      <c r="BA15" s="218"/>
      <c r="BB15" s="533" t="s">
        <v>2610</v>
      </c>
      <c r="BC15" s="533"/>
      <c r="BD15" s="3"/>
    </row>
    <row r="16" spans="1:56" ht="12.75" customHeight="1" x14ac:dyDescent="0.25">
      <c r="A16" t="s">
        <v>32</v>
      </c>
      <c r="B16" s="35" t="str">
        <f>HLOOKUP($O$5,'Data Sheet'!$B$2:$CM$27,2,FALSE)</f>
        <v>P1-RS1</v>
      </c>
      <c r="C16" s="104" t="s">
        <v>2664</v>
      </c>
      <c r="D16" s="417">
        <v>1</v>
      </c>
      <c r="E16" s="321" t="s">
        <v>2515</v>
      </c>
      <c r="F16" s="411">
        <v>45</v>
      </c>
      <c r="G16" s="421" t="s">
        <v>4</v>
      </c>
      <c r="H16" s="58">
        <v>135</v>
      </c>
      <c r="I16" s="104" t="s">
        <v>76</v>
      </c>
      <c r="J16" s="517"/>
      <c r="K16" s="285"/>
      <c r="L16" s="239" t="s">
        <v>2665</v>
      </c>
      <c r="M16" s="104" t="s">
        <v>2669</v>
      </c>
      <c r="N16" s="412" t="s">
        <v>2666</v>
      </c>
      <c r="O16" s="241" t="str">
        <f t="shared" ref="O16:O40" si="0">IF(D16&gt;0,IF(F16&gt;118,"RR","V")," ")</f>
        <v>V</v>
      </c>
      <c r="P16" s="275" t="s">
        <v>2624</v>
      </c>
      <c r="Q16" s="275"/>
      <c r="R16" s="221">
        <f t="shared" ref="R16:R40" si="1">IF(M16=$Y$6,Fabric_1,IF(M16=$Y$7,Fabric_2,IF(M16=$Y$8,Fabric_3,IF(M16=$Y$9,Fabric_4,0))))</f>
        <v>2.5000000000000001E-2</v>
      </c>
      <c r="S16" s="220">
        <f>IF(D16&gt;0,IF(E16="Tube 1",F16*0.81+22+5,IF(E16="Tube 1.5",F16*0.5+22.5+5,IF(E16="Tube 1.75",F16*0.75+40.5+7,IF(E16="Tube 2.375",F16*0.8+40.5+7,0)))),0)</f>
        <v>83.5</v>
      </c>
      <c r="T16" s="80">
        <f t="shared" ref="T16:T40" si="2">+(F16*(H16+12))*R16</f>
        <v>165.375</v>
      </c>
      <c r="U16" s="81">
        <f t="shared" ref="U16:U40" si="3">+T16*D16+S16*D16</f>
        <v>248.875</v>
      </c>
      <c r="V16" s="81">
        <f t="shared" ref="V16:V40" si="4">+IF(K16&gt;0,D16*F16/12*facia,0)</f>
        <v>0</v>
      </c>
      <c r="W16" s="81">
        <f t="shared" ref="W16:W40" si="5">IF(J16&gt;0,D16*2*H16/12*channel,0)</f>
        <v>0</v>
      </c>
      <c r="X16" s="81">
        <v>16</v>
      </c>
      <c r="Y16" s="244">
        <f>IF($O$9=1,IF(D16&gt;0,D16*$Y$14,0))</f>
        <v>28</v>
      </c>
      <c r="Z16" s="81">
        <f t="shared" ref="Z16:Z40" si="6">+IF(J16&gt;0,H16*0.2,0)</f>
        <v>0</v>
      </c>
      <c r="AA16" s="110">
        <f>SUM(U16:Z16)</f>
        <v>292.875</v>
      </c>
      <c r="AD16" s="55">
        <v>0</v>
      </c>
      <c r="AE16" s="55" t="str">
        <f>IF($J16="yes",0.5," ")</f>
        <v xml:space="preserve"> </v>
      </c>
      <c r="AF16" s="55" t="str">
        <f>IF($P16="7in Dual",0.375,IF($P16=" ",0," "))</f>
        <v xml:space="preserve"> </v>
      </c>
      <c r="AG16" s="55">
        <v>1.375</v>
      </c>
      <c r="AH16" s="58">
        <f>IF($E16="Fabric ONLY",0,$F16-SUM($AE16:$AG16))</f>
        <v>43.625</v>
      </c>
      <c r="AK16" s="246"/>
      <c r="AL16" s="117" t="s">
        <v>2583</v>
      </c>
      <c r="AO16" s="218"/>
      <c r="AQ16" s="219"/>
      <c r="AR16" s="271">
        <f t="shared" ref="AR16:AR40" si="7">IF(D16&gt;0,$F16+2,0)</f>
        <v>47</v>
      </c>
      <c r="AS16" s="251"/>
      <c r="AU16" s="252"/>
      <c r="AV16" s="278">
        <f t="shared" ref="AV16:AV40" si="8">IF(D16&gt;0,H16-3,0)</f>
        <v>132</v>
      </c>
      <c r="AW16" s="278"/>
      <c r="AZ16" s="219"/>
      <c r="BA16" s="218"/>
      <c r="BD16" s="3"/>
    </row>
    <row r="17" spans="1:56" ht="12.75" customHeight="1" x14ac:dyDescent="0.25">
      <c r="A17" t="s">
        <v>33</v>
      </c>
      <c r="B17" s="35" t="str">
        <f>HLOOKUP($O$5,'Data Sheet'!$B$2:$CM$27,3,FALSE)</f>
        <v>P1-RS2</v>
      </c>
      <c r="C17" s="104" t="s">
        <v>2667</v>
      </c>
      <c r="D17" s="417">
        <v>1</v>
      </c>
      <c r="E17" s="321" t="s">
        <v>2515</v>
      </c>
      <c r="F17" s="411">
        <v>45.75</v>
      </c>
      <c r="G17" s="421" t="s">
        <v>4</v>
      </c>
      <c r="H17" s="58">
        <v>103</v>
      </c>
      <c r="I17" s="104" t="s">
        <v>76</v>
      </c>
      <c r="J17" s="517"/>
      <c r="K17" s="285" t="s">
        <v>2560</v>
      </c>
      <c r="L17" s="239" t="s">
        <v>2668</v>
      </c>
      <c r="M17" s="104" t="s">
        <v>2669</v>
      </c>
      <c r="N17" s="104"/>
      <c r="O17" s="241" t="str">
        <f t="shared" si="0"/>
        <v>V</v>
      </c>
      <c r="P17" s="275" t="s">
        <v>2624</v>
      </c>
      <c r="Q17" s="275"/>
      <c r="R17" s="221">
        <f t="shared" si="1"/>
        <v>2.5000000000000001E-2</v>
      </c>
      <c r="S17" s="220">
        <f t="shared" ref="S17:S40" si="9">IF(D17&gt;0,IF(E17="Tube 1",F17*0.81+22+5,IF(E17="Tube 1.5",F17*0.5+22.5+5,IF(E17="Tube 1.75",F17*0.75+40.5+7,IF(E17="Tube 2.375",F17*0.8+40.5+7,0)))),0)</f>
        <v>84.1</v>
      </c>
      <c r="T17" s="80">
        <f t="shared" si="2"/>
        <v>131.53125</v>
      </c>
      <c r="U17" s="81">
        <f t="shared" si="3"/>
        <v>215.63124999999999</v>
      </c>
      <c r="V17" s="81">
        <f t="shared" si="4"/>
        <v>49.5625</v>
      </c>
      <c r="W17" s="81">
        <f t="shared" si="5"/>
        <v>0</v>
      </c>
      <c r="X17" s="81">
        <f t="shared" ref="X17:X40" si="10">IF(K17&gt;0,D17*bracket," ")</f>
        <v>16</v>
      </c>
      <c r="Y17" s="244">
        <f t="shared" ref="Y17:Y40" si="11">IF($O$9=1,IF(D17&gt;0,D17*$Y$14,0))</f>
        <v>28</v>
      </c>
      <c r="Z17" s="81">
        <f t="shared" si="6"/>
        <v>0</v>
      </c>
      <c r="AA17" s="110">
        <f t="shared" ref="AA17:AA40" si="12">SUM(U17:Z17)</f>
        <v>309.19375000000002</v>
      </c>
      <c r="AD17" s="55">
        <v>0</v>
      </c>
      <c r="AE17" s="55" t="str">
        <f t="shared" ref="AE17:AE40" si="13">IF($J17="yes",0.5," ")</f>
        <v xml:space="preserve"> </v>
      </c>
      <c r="AF17" s="55" t="str">
        <f t="shared" ref="AF17:AF40" si="14">IF($P17="7in Dual",0.375,IF($P17=" ",0," "))</f>
        <v xml:space="preserve"> </v>
      </c>
      <c r="AG17" s="55">
        <v>1.375</v>
      </c>
      <c r="AH17" s="58">
        <f t="shared" ref="AH17:AH40" si="15">IF($E17="Fabric ONLY",0,$F17-SUM($AE17:$AG17))</f>
        <v>44.375</v>
      </c>
      <c r="AK17" s="246"/>
      <c r="AL17" s="267" t="str">
        <f>Y6</f>
        <v>Panta Flex Linen</v>
      </c>
      <c r="AM17" s="288">
        <f>SUMIF('Data Sheet'!$H$31:$H$55,Worksheet!AL17,'Data Sheet'!$I$31:$I$55)</f>
        <v>19.748649691358025</v>
      </c>
      <c r="AN17" s="211"/>
      <c r="AO17" s="218"/>
      <c r="AP17" s="116" t="s">
        <v>2513</v>
      </c>
      <c r="AQ17" s="293"/>
      <c r="AR17" s="271">
        <f t="shared" si="7"/>
        <v>47.75</v>
      </c>
      <c r="AS17" s="287" t="s">
        <v>221</v>
      </c>
      <c r="AT17" s="217" t="s">
        <v>2560</v>
      </c>
      <c r="AU17" s="252"/>
      <c r="AV17" s="278">
        <f t="shared" si="8"/>
        <v>100</v>
      </c>
      <c r="AW17" s="280"/>
      <c r="AX17" s="276" t="s">
        <v>2567</v>
      </c>
      <c r="AZ17" s="219"/>
      <c r="BA17" s="218"/>
      <c r="BD17" s="3"/>
    </row>
    <row r="18" spans="1:56" ht="12.75" customHeight="1" x14ac:dyDescent="0.25">
      <c r="A18" t="s">
        <v>34</v>
      </c>
      <c r="B18" s="35" t="str">
        <f>HLOOKUP($O$5,'Data Sheet'!$B$2:$CM$27,4,FALSE)</f>
        <v>P1-RS3</v>
      </c>
      <c r="C18" s="104" t="s">
        <v>2671</v>
      </c>
      <c r="D18" s="417">
        <v>1</v>
      </c>
      <c r="E18" s="321" t="str">
        <f t="shared" ref="E18:E40" si="16">IF(OR(F18&gt;110,AND(F18&gt;95,H18&gt;60)),"Tube 1.75","Tube 1.5")</f>
        <v>Tube 1.5</v>
      </c>
      <c r="F18" s="411">
        <v>36.5</v>
      </c>
      <c r="G18" s="421" t="s">
        <v>4</v>
      </c>
      <c r="H18" s="58">
        <v>64</v>
      </c>
      <c r="I18" s="104" t="s">
        <v>76</v>
      </c>
      <c r="J18" s="517"/>
      <c r="K18" s="285" t="s">
        <v>2560</v>
      </c>
      <c r="L18" s="239" t="s">
        <v>2668</v>
      </c>
      <c r="M18" s="104" t="s">
        <v>2669</v>
      </c>
      <c r="N18" s="412" t="s">
        <v>2674</v>
      </c>
      <c r="O18" s="241" t="str">
        <f t="shared" si="0"/>
        <v>V</v>
      </c>
      <c r="P18" s="275" t="s">
        <v>2624</v>
      </c>
      <c r="Q18" s="275"/>
      <c r="R18" s="221">
        <f t="shared" si="1"/>
        <v>2.5000000000000001E-2</v>
      </c>
      <c r="S18" s="220">
        <f t="shared" si="9"/>
        <v>45.75</v>
      </c>
      <c r="T18" s="80">
        <f t="shared" si="2"/>
        <v>69.350000000000009</v>
      </c>
      <c r="U18" s="81">
        <f t="shared" si="3"/>
        <v>115.10000000000001</v>
      </c>
      <c r="V18" s="81">
        <f t="shared" si="4"/>
        <v>39.541666666666664</v>
      </c>
      <c r="W18" s="81">
        <f t="shared" si="5"/>
        <v>0</v>
      </c>
      <c r="X18" s="81">
        <f t="shared" si="10"/>
        <v>16</v>
      </c>
      <c r="Y18" s="244">
        <f t="shared" si="11"/>
        <v>28</v>
      </c>
      <c r="Z18" s="81">
        <f t="shared" si="6"/>
        <v>0</v>
      </c>
      <c r="AA18" s="110">
        <f t="shared" si="12"/>
        <v>198.64166666666668</v>
      </c>
      <c r="AD18" s="55">
        <v>0</v>
      </c>
      <c r="AE18" s="55" t="str">
        <f t="shared" si="13"/>
        <v xml:space="preserve"> </v>
      </c>
      <c r="AF18" s="55" t="str">
        <f t="shared" si="14"/>
        <v xml:space="preserve"> </v>
      </c>
      <c r="AG18" s="55">
        <v>1.375</v>
      </c>
      <c r="AH18" s="58">
        <f t="shared" si="15"/>
        <v>35.125</v>
      </c>
      <c r="AK18" s="246"/>
      <c r="AL18" s="117" t="s">
        <v>2584</v>
      </c>
      <c r="AO18" s="218"/>
      <c r="AP18" s="266">
        <f>SUMIF('Data Sheet'!$L$31:$L$55,AP17,'Data Sheet'!$M$31:$M$55)/12</f>
        <v>14.46875</v>
      </c>
      <c r="AQ18" s="294"/>
      <c r="AR18" s="271">
        <f t="shared" si="7"/>
        <v>38.5</v>
      </c>
      <c r="AS18" s="251"/>
      <c r="AT18" s="288">
        <f>SUMIFS('Data Sheet'!$R$31:$R$55,'Data Sheet'!$P$31:$P$55,'Data Sheet'!$B$38,'Data Sheet'!$Q$31:$Q$55,'Data Sheet'!$B$49)/12</f>
        <v>18.854166666666668</v>
      </c>
      <c r="AU18" s="252"/>
      <c r="AV18" s="278">
        <f t="shared" si="8"/>
        <v>61</v>
      </c>
      <c r="AW18" s="280"/>
      <c r="AZ18" s="219"/>
      <c r="BA18" s="218"/>
      <c r="BD18" s="3"/>
    </row>
    <row r="19" spans="1:56" ht="12.75" customHeight="1" x14ac:dyDescent="0.25">
      <c r="A19" t="s">
        <v>31</v>
      </c>
      <c r="B19" s="35" t="str">
        <f>HLOOKUP($O$5,'Data Sheet'!$B$2:$CM$27,5,FALSE)</f>
        <v>P1-RS4</v>
      </c>
      <c r="C19" s="104" t="s">
        <v>2672</v>
      </c>
      <c r="D19" s="417">
        <v>1</v>
      </c>
      <c r="E19" s="321" t="str">
        <f t="shared" si="16"/>
        <v>Tube 1.5</v>
      </c>
      <c r="F19" s="411">
        <v>36</v>
      </c>
      <c r="G19" s="421" t="s">
        <v>4</v>
      </c>
      <c r="H19" s="58">
        <v>64</v>
      </c>
      <c r="I19" s="104" t="s">
        <v>76</v>
      </c>
      <c r="J19" s="517"/>
      <c r="K19" s="285" t="s">
        <v>2560</v>
      </c>
      <c r="L19" s="239" t="s">
        <v>2668</v>
      </c>
      <c r="M19" s="104" t="s">
        <v>2669</v>
      </c>
      <c r="N19" s="412" t="s">
        <v>2674</v>
      </c>
      <c r="O19" s="241" t="str">
        <f t="shared" ref="O19:O22" si="17">IF(D19&gt;0,IF(F19&gt;118,"RR","V")," ")</f>
        <v>V</v>
      </c>
      <c r="P19" s="275" t="s">
        <v>2624</v>
      </c>
      <c r="Q19" s="275"/>
      <c r="R19" s="221">
        <f t="shared" si="1"/>
        <v>2.5000000000000001E-2</v>
      </c>
      <c r="S19" s="220">
        <f t="shared" si="9"/>
        <v>45.5</v>
      </c>
      <c r="T19" s="80">
        <f t="shared" si="2"/>
        <v>68.400000000000006</v>
      </c>
      <c r="U19" s="81">
        <f t="shared" si="3"/>
        <v>113.9</v>
      </c>
      <c r="V19" s="81">
        <f t="shared" si="4"/>
        <v>39</v>
      </c>
      <c r="W19" s="81">
        <f t="shared" si="5"/>
        <v>0</v>
      </c>
      <c r="X19" s="81">
        <f t="shared" si="10"/>
        <v>16</v>
      </c>
      <c r="Y19" s="244">
        <f t="shared" si="11"/>
        <v>28</v>
      </c>
      <c r="Z19" s="81">
        <f t="shared" si="6"/>
        <v>0</v>
      </c>
      <c r="AA19" s="110">
        <f t="shared" si="12"/>
        <v>196.9</v>
      </c>
      <c r="AD19" s="55">
        <v>0</v>
      </c>
      <c r="AE19" s="55" t="str">
        <f t="shared" si="13"/>
        <v xml:space="preserve"> </v>
      </c>
      <c r="AF19" s="55" t="str">
        <f t="shared" si="14"/>
        <v xml:space="preserve"> </v>
      </c>
      <c r="AG19" s="55">
        <v>1.375</v>
      </c>
      <c r="AH19" s="58">
        <f t="shared" si="15"/>
        <v>34.625</v>
      </c>
      <c r="AK19" s="246"/>
      <c r="AL19" s="267" t="str">
        <f>Y7</f>
        <v>Fabric 2</v>
      </c>
      <c r="AM19" s="288">
        <f>SUMIF('Data Sheet'!$H$31:$H$55,Worksheet!AL19,'Data Sheet'!$I$31:$I$55)</f>
        <v>0</v>
      </c>
      <c r="AN19" s="211"/>
      <c r="AO19" s="218"/>
      <c r="AP19" s="116" t="s">
        <v>2514</v>
      </c>
      <c r="AQ19" s="293"/>
      <c r="AR19" s="271">
        <f t="shared" si="7"/>
        <v>38</v>
      </c>
      <c r="AS19" s="287" t="s">
        <v>221</v>
      </c>
      <c r="AT19" s="259" t="s">
        <v>2561</v>
      </c>
      <c r="AU19" s="252"/>
      <c r="AV19" s="278">
        <f t="shared" si="8"/>
        <v>61</v>
      </c>
      <c r="AW19" s="280"/>
      <c r="AX19" s="276" t="s">
        <v>2568</v>
      </c>
      <c r="AY19" s="56">
        <f>SUMIFS('Data Sheet'!$T$31:$T$55,'Data Sheet'!$U$31:$U$55,'Data Sheet'!$B$31,'Data Sheet'!$V$31:$V$55,'Data Sheet'!$B$37,'Data Sheet'!$W$31:$W$55,'Data Sheet'!$E$37)</f>
        <v>0</v>
      </c>
      <c r="AZ19" s="219"/>
      <c r="BA19" s="218"/>
      <c r="BB19" s="117" t="s">
        <v>2611</v>
      </c>
      <c r="BC19" s="55">
        <f>AY19+AY21+AY23</f>
        <v>0</v>
      </c>
      <c r="BD19" s="3"/>
    </row>
    <row r="20" spans="1:56" ht="12.75" customHeight="1" x14ac:dyDescent="0.25">
      <c r="A20" t="s">
        <v>35</v>
      </c>
      <c r="B20" s="35" t="str">
        <f>HLOOKUP($O$5,'Data Sheet'!$B$2:$CM$27,6,FALSE)</f>
        <v>P1-RS5</v>
      </c>
      <c r="C20" s="104" t="s">
        <v>2672</v>
      </c>
      <c r="D20" s="417">
        <v>1</v>
      </c>
      <c r="E20" s="321" t="str">
        <f t="shared" si="16"/>
        <v>Tube 1.5</v>
      </c>
      <c r="F20" s="411">
        <v>35.75</v>
      </c>
      <c r="G20" s="421" t="s">
        <v>4</v>
      </c>
      <c r="H20" s="58">
        <v>64</v>
      </c>
      <c r="I20" s="104" t="s">
        <v>76</v>
      </c>
      <c r="J20" s="517"/>
      <c r="K20" s="285" t="s">
        <v>2560</v>
      </c>
      <c r="L20" s="239" t="s">
        <v>2668</v>
      </c>
      <c r="M20" s="104" t="s">
        <v>2669</v>
      </c>
      <c r="N20" s="412" t="s">
        <v>2674</v>
      </c>
      <c r="O20" s="241" t="str">
        <f t="shared" si="17"/>
        <v>V</v>
      </c>
      <c r="P20" s="275" t="s">
        <v>2624</v>
      </c>
      <c r="Q20" s="275"/>
      <c r="R20" s="221">
        <f t="shared" si="1"/>
        <v>2.5000000000000001E-2</v>
      </c>
      <c r="S20" s="220">
        <f t="shared" si="9"/>
        <v>45.375</v>
      </c>
      <c r="T20" s="80">
        <f t="shared" si="2"/>
        <v>67.924999999999997</v>
      </c>
      <c r="U20" s="81">
        <f t="shared" si="3"/>
        <v>113.3</v>
      </c>
      <c r="V20" s="81">
        <f t="shared" si="4"/>
        <v>38.729166666666664</v>
      </c>
      <c r="W20" s="81">
        <f t="shared" si="5"/>
        <v>0</v>
      </c>
      <c r="X20" s="81">
        <f t="shared" si="10"/>
        <v>16</v>
      </c>
      <c r="Y20" s="244">
        <f t="shared" si="11"/>
        <v>28</v>
      </c>
      <c r="Z20" s="81">
        <f t="shared" si="6"/>
        <v>0</v>
      </c>
      <c r="AA20" s="110">
        <f t="shared" si="12"/>
        <v>196.02916666666667</v>
      </c>
      <c r="AD20" s="55">
        <v>0</v>
      </c>
      <c r="AE20" s="55" t="str">
        <f t="shared" si="13"/>
        <v xml:space="preserve"> </v>
      </c>
      <c r="AF20" s="55" t="str">
        <f t="shared" si="14"/>
        <v xml:space="preserve"> </v>
      </c>
      <c r="AG20" s="55">
        <v>1.375</v>
      </c>
      <c r="AH20" s="58">
        <f t="shared" si="15"/>
        <v>34.375</v>
      </c>
      <c r="AK20" s="246"/>
      <c r="AL20" s="117" t="s">
        <v>2585</v>
      </c>
      <c r="AO20" s="218"/>
      <c r="AP20" s="266">
        <f>SUMIF('Data Sheet'!$L$31:$L$55,AP19,'Data Sheet'!$M$31:$M$55)/12</f>
        <v>0</v>
      </c>
      <c r="AQ20" s="294"/>
      <c r="AR20" s="271">
        <f t="shared" si="7"/>
        <v>37.75</v>
      </c>
      <c r="AS20" s="251"/>
      <c r="AT20" s="288">
        <f>SUMIFS('Data Sheet'!$R$31:$R$55,'Data Sheet'!$P$31:$P$55,'Data Sheet'!$B$38,'Data Sheet'!$Q$31:$Q$55,'Data Sheet'!$B$50)/12</f>
        <v>0</v>
      </c>
      <c r="AU20" s="252"/>
      <c r="AV20" s="278">
        <f t="shared" si="8"/>
        <v>61</v>
      </c>
      <c r="AW20" s="280"/>
      <c r="AZ20" s="219"/>
      <c r="BA20" s="218"/>
      <c r="BB20" s="5"/>
      <c r="BD20" s="3"/>
    </row>
    <row r="21" spans="1:56" ht="12.75" customHeight="1" x14ac:dyDescent="0.25">
      <c r="A21" t="s">
        <v>36</v>
      </c>
      <c r="B21" s="35" t="str">
        <f>HLOOKUP($O$5,'Data Sheet'!$B$2:$CM$27,7,FALSE)</f>
        <v>P1-RS6</v>
      </c>
      <c r="C21" s="104" t="s">
        <v>2672</v>
      </c>
      <c r="D21" s="417">
        <v>1</v>
      </c>
      <c r="E21" s="321" t="str">
        <f t="shared" si="16"/>
        <v>Tube 1.5</v>
      </c>
      <c r="F21" s="411">
        <v>36</v>
      </c>
      <c r="G21" s="421" t="s">
        <v>4</v>
      </c>
      <c r="H21" s="58">
        <v>64</v>
      </c>
      <c r="I21" s="104" t="s">
        <v>76</v>
      </c>
      <c r="J21" s="517"/>
      <c r="K21" s="285" t="s">
        <v>2560</v>
      </c>
      <c r="L21" s="239" t="s">
        <v>2668</v>
      </c>
      <c r="M21" s="104" t="s">
        <v>2669</v>
      </c>
      <c r="N21" s="412" t="s">
        <v>2674</v>
      </c>
      <c r="O21" s="241" t="str">
        <f t="shared" si="17"/>
        <v>V</v>
      </c>
      <c r="P21" s="275" t="s">
        <v>2624</v>
      </c>
      <c r="Q21" s="275"/>
      <c r="R21" s="221">
        <f t="shared" si="1"/>
        <v>2.5000000000000001E-2</v>
      </c>
      <c r="S21" s="220">
        <f t="shared" si="9"/>
        <v>45.5</v>
      </c>
      <c r="T21" s="80">
        <f t="shared" si="2"/>
        <v>68.400000000000006</v>
      </c>
      <c r="U21" s="81">
        <f t="shared" si="3"/>
        <v>113.9</v>
      </c>
      <c r="V21" s="81">
        <f t="shared" si="4"/>
        <v>39</v>
      </c>
      <c r="W21" s="81">
        <f t="shared" si="5"/>
        <v>0</v>
      </c>
      <c r="X21" s="81">
        <f t="shared" si="10"/>
        <v>16</v>
      </c>
      <c r="Y21" s="244">
        <f t="shared" si="11"/>
        <v>28</v>
      </c>
      <c r="Z21" s="81">
        <f t="shared" si="6"/>
        <v>0</v>
      </c>
      <c r="AA21" s="110">
        <f t="shared" si="12"/>
        <v>196.9</v>
      </c>
      <c r="AD21" s="55">
        <v>0</v>
      </c>
      <c r="AE21" s="55" t="str">
        <f t="shared" si="13"/>
        <v xml:space="preserve"> </v>
      </c>
      <c r="AF21" s="55" t="str">
        <f t="shared" si="14"/>
        <v xml:space="preserve"> </v>
      </c>
      <c r="AG21" s="55">
        <v>1.375</v>
      </c>
      <c r="AH21" s="58">
        <f t="shared" si="15"/>
        <v>34.625</v>
      </c>
      <c r="AK21" s="246"/>
      <c r="AL21" s="267" t="str">
        <f>Y8</f>
        <v>Fabric 3</v>
      </c>
      <c r="AM21" s="288">
        <f>SUMIF('Data Sheet'!$H$31:$H$55,Worksheet!AL21,'Data Sheet'!$I$31:$I$55)</f>
        <v>0</v>
      </c>
      <c r="AN21" s="211"/>
      <c r="AO21" s="218"/>
      <c r="AP21" s="116" t="s">
        <v>2515</v>
      </c>
      <c r="AQ21" s="293"/>
      <c r="AR21" s="271">
        <f t="shared" si="7"/>
        <v>38</v>
      </c>
      <c r="AS21" s="287" t="s">
        <v>221</v>
      </c>
      <c r="AT21" s="259" t="s">
        <v>2562</v>
      </c>
      <c r="AU21" s="252"/>
      <c r="AV21" s="278">
        <f t="shared" si="8"/>
        <v>61</v>
      </c>
      <c r="AW21" s="278"/>
      <c r="AX21" s="276" t="s">
        <v>2569</v>
      </c>
      <c r="AY21" s="56">
        <f>SUMIFS('Data Sheet'!$T$31:$T$55,'Data Sheet'!$U$31:$U$55,'Data Sheet'!$B$31,'Data Sheet'!$V$31:$V$55,'Data Sheet'!$B$37,'Data Sheet'!$W$31:$W$55,'Data Sheet'!$E$38)</f>
        <v>0</v>
      </c>
      <c r="AZ21" s="219"/>
      <c r="BA21" s="218"/>
      <c r="BB21" s="117" t="s">
        <v>2612</v>
      </c>
      <c r="BC21" s="55">
        <f>AY25+AY27+AY29</f>
        <v>0</v>
      </c>
      <c r="BD21" s="3"/>
    </row>
    <row r="22" spans="1:56" ht="12.75" customHeight="1" x14ac:dyDescent="0.25">
      <c r="A22" t="s">
        <v>37</v>
      </c>
      <c r="B22" s="35" t="str">
        <f>HLOOKUP($O$5,'Data Sheet'!$B$2:$CM$27,8,FALSE)</f>
        <v>P1-RS7</v>
      </c>
      <c r="C22" s="104" t="s">
        <v>2673</v>
      </c>
      <c r="D22" s="417">
        <v>1</v>
      </c>
      <c r="E22" s="321" t="str">
        <f t="shared" si="16"/>
        <v>Tube 1.5</v>
      </c>
      <c r="F22" s="411">
        <v>36.25</v>
      </c>
      <c r="G22" s="421" t="s">
        <v>4</v>
      </c>
      <c r="H22" s="58">
        <v>64</v>
      </c>
      <c r="I22" s="104" t="s">
        <v>76</v>
      </c>
      <c r="J22" s="517"/>
      <c r="K22" s="285" t="s">
        <v>2560</v>
      </c>
      <c r="L22" s="239" t="s">
        <v>2668</v>
      </c>
      <c r="M22" s="104" t="s">
        <v>2669</v>
      </c>
      <c r="N22" s="412" t="s">
        <v>2674</v>
      </c>
      <c r="O22" s="241" t="str">
        <f t="shared" si="17"/>
        <v>V</v>
      </c>
      <c r="P22" s="275" t="s">
        <v>2624</v>
      </c>
      <c r="Q22" s="275"/>
      <c r="R22" s="221">
        <f t="shared" si="1"/>
        <v>2.5000000000000001E-2</v>
      </c>
      <c r="S22" s="220">
        <f t="shared" si="9"/>
        <v>45.625</v>
      </c>
      <c r="T22" s="80">
        <f t="shared" si="2"/>
        <v>68.875</v>
      </c>
      <c r="U22" s="81">
        <f t="shared" si="3"/>
        <v>114.5</v>
      </c>
      <c r="V22" s="81">
        <f t="shared" si="4"/>
        <v>39.270833333333336</v>
      </c>
      <c r="W22" s="81">
        <f t="shared" si="5"/>
        <v>0</v>
      </c>
      <c r="X22" s="81">
        <f t="shared" si="10"/>
        <v>16</v>
      </c>
      <c r="Y22" s="244">
        <f t="shared" si="11"/>
        <v>28</v>
      </c>
      <c r="Z22" s="81">
        <f t="shared" si="6"/>
        <v>0</v>
      </c>
      <c r="AA22" s="110">
        <f t="shared" si="12"/>
        <v>197.77083333333334</v>
      </c>
      <c r="AD22" s="55">
        <v>0</v>
      </c>
      <c r="AE22" s="55" t="str">
        <f t="shared" si="13"/>
        <v xml:space="preserve"> </v>
      </c>
      <c r="AF22" s="55" t="str">
        <f t="shared" si="14"/>
        <v xml:space="preserve"> </v>
      </c>
      <c r="AG22" s="55">
        <v>1.375</v>
      </c>
      <c r="AH22" s="58">
        <f t="shared" si="15"/>
        <v>34.875</v>
      </c>
      <c r="AK22" s="246"/>
      <c r="AL22" s="117" t="s">
        <v>2586</v>
      </c>
      <c r="AO22" s="218"/>
      <c r="AP22" s="266">
        <f>SUMIF('Data Sheet'!$L$31:$L$55,AP21,'Data Sheet'!$M$31:$M$55)/12</f>
        <v>7.333333333333333</v>
      </c>
      <c r="AQ22" s="294"/>
      <c r="AR22" s="271">
        <f t="shared" si="7"/>
        <v>38.25</v>
      </c>
      <c r="AS22" s="251"/>
      <c r="AT22" s="288">
        <f>SUMIFS('Data Sheet'!$R$31:$R$55,'Data Sheet'!$P$31:$P$55,'Data Sheet'!$B$38,'Data Sheet'!$Q$31:$Q$55,'Data Sheet'!$B$51)/12</f>
        <v>0</v>
      </c>
      <c r="AU22" s="252"/>
      <c r="AV22" s="278">
        <f t="shared" si="8"/>
        <v>61</v>
      </c>
      <c r="AW22" s="278"/>
      <c r="AZ22" s="219"/>
      <c r="BA22" s="218"/>
      <c r="BD22" s="3"/>
    </row>
    <row r="23" spans="1:56" ht="12.75" customHeight="1" x14ac:dyDescent="0.25">
      <c r="A23" t="s">
        <v>38</v>
      </c>
      <c r="B23" s="35" t="str">
        <f>HLOOKUP($O$5,'Data Sheet'!$B$2:$CM$27,9,FALSE)</f>
        <v>P1-RS8</v>
      </c>
      <c r="C23" s="104"/>
      <c r="D23" s="417"/>
      <c r="E23" s="321" t="str">
        <f t="shared" si="16"/>
        <v>Tube 1.5</v>
      </c>
      <c r="F23" s="411"/>
      <c r="G23" s="421" t="s">
        <v>4</v>
      </c>
      <c r="H23" s="58"/>
      <c r="I23" s="104"/>
      <c r="J23" s="517"/>
      <c r="K23" s="285"/>
      <c r="L23" s="239"/>
      <c r="M23" s="104"/>
      <c r="N23" s="240"/>
      <c r="O23" s="241" t="str">
        <f t="shared" si="0"/>
        <v xml:space="preserve"> </v>
      </c>
      <c r="P23" s="275"/>
      <c r="Q23" s="275"/>
      <c r="R23" s="221">
        <f t="shared" si="1"/>
        <v>0</v>
      </c>
      <c r="S23" s="220">
        <f t="shared" si="9"/>
        <v>0</v>
      </c>
      <c r="T23" s="80">
        <f t="shared" si="2"/>
        <v>0</v>
      </c>
      <c r="U23" s="81">
        <f t="shared" si="3"/>
        <v>0</v>
      </c>
      <c r="V23" s="81">
        <f t="shared" si="4"/>
        <v>0</v>
      </c>
      <c r="W23" s="81">
        <f t="shared" si="5"/>
        <v>0</v>
      </c>
      <c r="X23" s="81" t="str">
        <f t="shared" si="10"/>
        <v xml:space="preserve"> </v>
      </c>
      <c r="Y23" s="244">
        <f t="shared" si="11"/>
        <v>0</v>
      </c>
      <c r="Z23" s="81">
        <f t="shared" si="6"/>
        <v>0</v>
      </c>
      <c r="AA23" s="110">
        <f t="shared" si="12"/>
        <v>0</v>
      </c>
      <c r="AD23" s="55">
        <v>0</v>
      </c>
      <c r="AE23" s="55" t="str">
        <f t="shared" si="13"/>
        <v xml:space="preserve"> </v>
      </c>
      <c r="AF23" s="55" t="str">
        <f t="shared" si="14"/>
        <v xml:space="preserve"> </v>
      </c>
      <c r="AG23" s="55">
        <v>1.375</v>
      </c>
      <c r="AH23" s="58">
        <f t="shared" si="15"/>
        <v>-1.375</v>
      </c>
      <c r="AK23" s="246"/>
      <c r="AL23" s="267" t="str">
        <f>Y9</f>
        <v>Fabric 4</v>
      </c>
      <c r="AM23" s="288">
        <f>SUMIF('Data Sheet'!$H$31:$H$55,Worksheet!AL23,'Data Sheet'!$I$31:$I$55)</f>
        <v>0</v>
      </c>
      <c r="AN23" s="211"/>
      <c r="AO23" s="218"/>
      <c r="AP23" s="116" t="s">
        <v>2512</v>
      </c>
      <c r="AQ23" s="293"/>
      <c r="AR23" s="271">
        <f t="shared" si="7"/>
        <v>0</v>
      </c>
      <c r="AS23" s="287" t="s">
        <v>221</v>
      </c>
      <c r="AT23" s="259" t="s">
        <v>2563</v>
      </c>
      <c r="AU23" s="252"/>
      <c r="AV23" s="278">
        <f t="shared" si="8"/>
        <v>0</v>
      </c>
      <c r="AW23" s="278"/>
      <c r="AX23" s="276" t="s">
        <v>2570</v>
      </c>
      <c r="AY23" s="56">
        <f>SUMIFS('Data Sheet'!$T$31:$T$55,'Data Sheet'!$U$31:$U$55,'Data Sheet'!$B$31,'Data Sheet'!$V$31:$V$55,'Data Sheet'!$B$37,'Data Sheet'!$W$31:$W$55,'Data Sheet'!$E$39)</f>
        <v>0</v>
      </c>
      <c r="AZ23" s="219"/>
      <c r="BA23" s="218"/>
      <c r="BB23" s="117" t="s">
        <v>2613</v>
      </c>
      <c r="BC23" s="55">
        <f>AY31+AY33+AY35+AY37</f>
        <v>5</v>
      </c>
      <c r="BD23" s="3"/>
    </row>
    <row r="24" spans="1:56" ht="12.75" customHeight="1" x14ac:dyDescent="0.25">
      <c r="A24" t="s">
        <v>39</v>
      </c>
      <c r="B24" s="35" t="str">
        <f>HLOOKUP($O$5,'Data Sheet'!$B$2:$CM$27,10,FALSE)</f>
        <v>P1-RS9</v>
      </c>
      <c r="C24" s="104"/>
      <c r="D24" s="417"/>
      <c r="E24" s="321" t="str">
        <f t="shared" si="16"/>
        <v>Tube 1.5</v>
      </c>
      <c r="F24" s="411"/>
      <c r="G24" s="421" t="s">
        <v>4</v>
      </c>
      <c r="H24" s="58"/>
      <c r="I24" s="104"/>
      <c r="J24" s="517"/>
      <c r="K24" s="285"/>
      <c r="L24" s="239"/>
      <c r="M24" s="104"/>
      <c r="N24" s="240"/>
      <c r="O24" s="241" t="str">
        <f t="shared" si="0"/>
        <v xml:space="preserve"> </v>
      </c>
      <c r="P24" s="275"/>
      <c r="Q24" s="275"/>
      <c r="R24" s="221">
        <f t="shared" si="1"/>
        <v>0</v>
      </c>
      <c r="S24" s="220">
        <f t="shared" si="9"/>
        <v>0</v>
      </c>
      <c r="T24" s="80">
        <f t="shared" si="2"/>
        <v>0</v>
      </c>
      <c r="U24" s="81">
        <f t="shared" si="3"/>
        <v>0</v>
      </c>
      <c r="V24" s="81">
        <f t="shared" si="4"/>
        <v>0</v>
      </c>
      <c r="W24" s="81">
        <f t="shared" si="5"/>
        <v>0</v>
      </c>
      <c r="X24" s="81" t="str">
        <f t="shared" si="10"/>
        <v xml:space="preserve"> </v>
      </c>
      <c r="Y24" s="244">
        <f t="shared" si="11"/>
        <v>0</v>
      </c>
      <c r="Z24" s="81">
        <f t="shared" si="6"/>
        <v>0</v>
      </c>
      <c r="AA24" s="110">
        <f t="shared" si="12"/>
        <v>0</v>
      </c>
      <c r="AD24" s="55">
        <v>0</v>
      </c>
      <c r="AE24" s="55" t="str">
        <f t="shared" si="13"/>
        <v xml:space="preserve"> </v>
      </c>
      <c r="AF24" s="55" t="str">
        <f t="shared" si="14"/>
        <v xml:space="preserve"> </v>
      </c>
      <c r="AG24" s="55">
        <v>1.375</v>
      </c>
      <c r="AH24" s="58">
        <f t="shared" si="15"/>
        <v>-1.375</v>
      </c>
      <c r="AK24" s="246"/>
      <c r="AL24" s="117"/>
      <c r="AO24" s="218"/>
      <c r="AP24" s="266">
        <f>SUMIF('Data Sheet'!$L$31:$L$55,AP23,'Data Sheet'!$M$31:$M$55)/12</f>
        <v>0</v>
      </c>
      <c r="AQ24" s="294"/>
      <c r="AR24" s="271">
        <f t="shared" si="7"/>
        <v>0</v>
      </c>
      <c r="AS24" s="251"/>
      <c r="AT24" s="288">
        <f>SUMIFS('Data Sheet'!$R$31:$R$55,'Data Sheet'!$P$31:$P$55,'Data Sheet'!$B$38,'Data Sheet'!$Q$31:$Q$55,'Data Sheet'!$B$52)/12</f>
        <v>0</v>
      </c>
      <c r="AU24" s="252"/>
      <c r="AV24" s="278">
        <f t="shared" si="8"/>
        <v>0</v>
      </c>
      <c r="AW24" s="278"/>
      <c r="AZ24" s="219"/>
      <c r="BA24" s="218"/>
      <c r="BD24" s="3"/>
    </row>
    <row r="25" spans="1:56" ht="12.75" customHeight="1" x14ac:dyDescent="0.25">
      <c r="A25" t="s">
        <v>40</v>
      </c>
      <c r="B25" s="35" t="str">
        <f>HLOOKUP($O$5,'Data Sheet'!$B$2:$CM$27,11,FALSE)</f>
        <v>P1-RS10</v>
      </c>
      <c r="C25" s="104"/>
      <c r="D25" s="417"/>
      <c r="E25" s="321" t="str">
        <f t="shared" si="16"/>
        <v>Tube 1.5</v>
      </c>
      <c r="F25" s="411"/>
      <c r="G25" s="421" t="s">
        <v>4</v>
      </c>
      <c r="H25" s="58"/>
      <c r="I25" s="104"/>
      <c r="J25" s="517"/>
      <c r="K25" s="285"/>
      <c r="L25" s="239"/>
      <c r="M25" s="104"/>
      <c r="N25" s="240"/>
      <c r="O25" s="241" t="str">
        <f t="shared" si="0"/>
        <v xml:space="preserve"> </v>
      </c>
      <c r="P25" s="275"/>
      <c r="Q25" s="275"/>
      <c r="R25" s="221">
        <f t="shared" si="1"/>
        <v>0</v>
      </c>
      <c r="S25" s="220">
        <f t="shared" si="9"/>
        <v>0</v>
      </c>
      <c r="T25" s="80">
        <f t="shared" si="2"/>
        <v>0</v>
      </c>
      <c r="U25" s="81">
        <f t="shared" si="3"/>
        <v>0</v>
      </c>
      <c r="V25" s="81">
        <f t="shared" si="4"/>
        <v>0</v>
      </c>
      <c r="W25" s="81">
        <f t="shared" si="5"/>
        <v>0</v>
      </c>
      <c r="X25" s="81" t="str">
        <f t="shared" si="10"/>
        <v xml:space="preserve"> </v>
      </c>
      <c r="Y25" s="244">
        <f t="shared" si="11"/>
        <v>0</v>
      </c>
      <c r="Z25" s="81">
        <f t="shared" si="6"/>
        <v>0</v>
      </c>
      <c r="AA25" s="110">
        <f t="shared" si="12"/>
        <v>0</v>
      </c>
      <c r="AD25" s="55">
        <v>0</v>
      </c>
      <c r="AE25" s="55" t="str">
        <f t="shared" si="13"/>
        <v xml:space="preserve"> </v>
      </c>
      <c r="AF25" s="55" t="str">
        <f t="shared" si="14"/>
        <v xml:space="preserve"> </v>
      </c>
      <c r="AG25" s="55">
        <v>1.375</v>
      </c>
      <c r="AH25" s="58">
        <f t="shared" si="15"/>
        <v>-1.375</v>
      </c>
      <c r="AK25" s="246"/>
      <c r="AL25" s="534" t="s">
        <v>2582</v>
      </c>
      <c r="AM25" s="535"/>
      <c r="AN25" s="250"/>
      <c r="AO25" s="263"/>
      <c r="AP25" s="35"/>
      <c r="AQ25" s="295"/>
      <c r="AR25" s="271">
        <f t="shared" si="7"/>
        <v>0</v>
      </c>
      <c r="AS25" s="251"/>
      <c r="AT25" s="211"/>
      <c r="AU25" s="252"/>
      <c r="AV25" s="278">
        <f t="shared" si="8"/>
        <v>0</v>
      </c>
      <c r="AW25" s="278"/>
      <c r="AX25" s="276" t="s">
        <v>2571</v>
      </c>
      <c r="AY25" s="56">
        <f>SUMIFS('Data Sheet'!$T$31:$T$55,'Data Sheet'!$U$31:$U$55,'Data Sheet'!$B$32,'Data Sheet'!$V$31:$V$55,'Data Sheet'!$B$37,'Data Sheet'!$W$31:$W$55,'Data Sheet'!$E$37)</f>
        <v>0</v>
      </c>
      <c r="AZ25" s="219"/>
      <c r="BA25" s="218"/>
      <c r="BB25" s="117" t="s">
        <v>2614</v>
      </c>
      <c r="BC25" s="338">
        <f>AY39+AY41+AY43</f>
        <v>0</v>
      </c>
      <c r="BD25" s="3"/>
    </row>
    <row r="26" spans="1:56" ht="12.75" customHeight="1" x14ac:dyDescent="0.3">
      <c r="A26" t="s">
        <v>41</v>
      </c>
      <c r="B26" s="35" t="str">
        <f>HLOOKUP($O$5,'Data Sheet'!$B$2:$CM$27,12,FALSE)</f>
        <v>P1-RS11</v>
      </c>
      <c r="C26" s="104"/>
      <c r="D26" s="417"/>
      <c r="E26" s="321" t="str">
        <f t="shared" si="16"/>
        <v>Tube 1.5</v>
      </c>
      <c r="F26" s="411"/>
      <c r="G26" s="421" t="s">
        <v>4</v>
      </c>
      <c r="H26" s="58"/>
      <c r="I26" s="104"/>
      <c r="J26" s="517"/>
      <c r="K26" s="285"/>
      <c r="L26" s="239"/>
      <c r="M26" s="104"/>
      <c r="N26" s="240"/>
      <c r="O26" s="241" t="str">
        <f t="shared" si="0"/>
        <v xml:space="preserve"> </v>
      </c>
      <c r="P26" s="275"/>
      <c r="Q26" s="275"/>
      <c r="R26" s="221">
        <f t="shared" si="1"/>
        <v>0</v>
      </c>
      <c r="S26" s="220">
        <f t="shared" si="9"/>
        <v>0</v>
      </c>
      <c r="T26" s="80">
        <f t="shared" si="2"/>
        <v>0</v>
      </c>
      <c r="U26" s="81">
        <f t="shared" si="3"/>
        <v>0</v>
      </c>
      <c r="V26" s="81">
        <f t="shared" si="4"/>
        <v>0</v>
      </c>
      <c r="W26" s="81">
        <f t="shared" si="5"/>
        <v>0</v>
      </c>
      <c r="X26" s="81" t="str">
        <f t="shared" si="10"/>
        <v xml:space="preserve"> </v>
      </c>
      <c r="Y26" s="244">
        <f t="shared" si="11"/>
        <v>0</v>
      </c>
      <c r="Z26" s="81">
        <f t="shared" si="6"/>
        <v>0</v>
      </c>
      <c r="AA26" s="110">
        <f t="shared" si="12"/>
        <v>0</v>
      </c>
      <c r="AD26" s="55">
        <v>0</v>
      </c>
      <c r="AE26" s="55" t="str">
        <f t="shared" si="13"/>
        <v xml:space="preserve"> </v>
      </c>
      <c r="AF26" s="55" t="str">
        <f t="shared" si="14"/>
        <v xml:space="preserve"> </v>
      </c>
      <c r="AG26" s="55">
        <v>1.375</v>
      </c>
      <c r="AH26" s="58">
        <f t="shared" si="15"/>
        <v>-1.375</v>
      </c>
      <c r="AK26" s="246"/>
      <c r="AL26" s="536"/>
      <c r="AM26" s="537"/>
      <c r="AN26" s="211"/>
      <c r="AO26" s="264"/>
      <c r="AP26" s="347" t="s">
        <v>2555</v>
      </c>
      <c r="AQ26" s="296"/>
      <c r="AR26" s="271">
        <f t="shared" si="7"/>
        <v>0</v>
      </c>
      <c r="AS26" s="251"/>
      <c r="AT26" s="211"/>
      <c r="AU26" s="252"/>
      <c r="AV26" s="278">
        <f t="shared" si="8"/>
        <v>0</v>
      </c>
      <c r="AW26" s="278"/>
      <c r="AZ26" s="219"/>
      <c r="BA26" s="218"/>
      <c r="BD26" s="3"/>
    </row>
    <row r="27" spans="1:56" ht="12.75" customHeight="1" thickBot="1" x14ac:dyDescent="0.3">
      <c r="A27" t="s">
        <v>42</v>
      </c>
      <c r="B27" s="35" t="str">
        <f>HLOOKUP($O$5,'Data Sheet'!$B$2:$CM$27,13,FALSE)</f>
        <v>P1-RS12</v>
      </c>
      <c r="C27" s="104"/>
      <c r="D27" s="417"/>
      <c r="E27" s="321" t="str">
        <f t="shared" si="16"/>
        <v>Tube 1.5</v>
      </c>
      <c r="F27" s="411"/>
      <c r="G27" s="421" t="s">
        <v>4</v>
      </c>
      <c r="H27" s="58"/>
      <c r="I27" s="104"/>
      <c r="J27" s="517"/>
      <c r="K27" s="285"/>
      <c r="L27" s="239"/>
      <c r="M27" s="104"/>
      <c r="N27" s="240"/>
      <c r="O27" s="241" t="str">
        <f t="shared" si="0"/>
        <v xml:space="preserve"> </v>
      </c>
      <c r="P27" s="275"/>
      <c r="Q27" s="275"/>
      <c r="R27" s="221">
        <f t="shared" si="1"/>
        <v>0</v>
      </c>
      <c r="S27" s="220">
        <f t="shared" si="9"/>
        <v>0</v>
      </c>
      <c r="T27" s="80">
        <f t="shared" si="2"/>
        <v>0</v>
      </c>
      <c r="U27" s="81">
        <f t="shared" si="3"/>
        <v>0</v>
      </c>
      <c r="V27" s="81">
        <f t="shared" si="4"/>
        <v>0</v>
      </c>
      <c r="W27" s="81">
        <f t="shared" si="5"/>
        <v>0</v>
      </c>
      <c r="X27" s="81" t="str">
        <f t="shared" si="10"/>
        <v xml:space="preserve"> </v>
      </c>
      <c r="Y27" s="244">
        <f t="shared" si="11"/>
        <v>0</v>
      </c>
      <c r="Z27" s="81">
        <f t="shared" si="6"/>
        <v>0</v>
      </c>
      <c r="AA27" s="110">
        <f t="shared" si="12"/>
        <v>0</v>
      </c>
      <c r="AD27" s="55">
        <v>0</v>
      </c>
      <c r="AE27" s="55" t="str">
        <f t="shared" si="13"/>
        <v xml:space="preserve"> </v>
      </c>
      <c r="AF27" s="55" t="str">
        <f t="shared" si="14"/>
        <v xml:space="preserve"> </v>
      </c>
      <c r="AG27" s="55">
        <v>1.375</v>
      </c>
      <c r="AH27" s="58">
        <f t="shared" si="15"/>
        <v>-1.375</v>
      </c>
      <c r="AK27" s="246"/>
      <c r="AL27" s="536"/>
      <c r="AM27" s="537"/>
      <c r="AO27" s="218"/>
      <c r="AQ27" s="219"/>
      <c r="AR27" s="271">
        <f t="shared" si="7"/>
        <v>0</v>
      </c>
      <c r="AS27" s="251"/>
      <c r="AU27" s="252"/>
      <c r="AV27" s="278">
        <f t="shared" si="8"/>
        <v>0</v>
      </c>
      <c r="AW27" s="278"/>
      <c r="AX27" s="276" t="s">
        <v>2572</v>
      </c>
      <c r="AY27" s="56">
        <f>SUMIFS('Data Sheet'!$T$31:$T$55,'Data Sheet'!$U$31:$U$55,'Data Sheet'!$B$32,'Data Sheet'!$V$31:$V$55,'Data Sheet'!$B$37,'Data Sheet'!$W$31:$W$55,'Data Sheet'!$E$38)</f>
        <v>0</v>
      </c>
      <c r="AZ27" s="219"/>
      <c r="BA27" s="265"/>
      <c r="BB27" s="69"/>
      <c r="BC27" s="69"/>
      <c r="BD27" s="70"/>
    </row>
    <row r="28" spans="1:56" ht="12.75" customHeight="1" x14ac:dyDescent="0.25">
      <c r="A28" t="s">
        <v>43</v>
      </c>
      <c r="B28" s="35" t="str">
        <f>HLOOKUP($O$5,'Data Sheet'!$B$2:$CM$27,14,FALSE)</f>
        <v>P1-RS13</v>
      </c>
      <c r="C28" s="239"/>
      <c r="D28" s="417"/>
      <c r="E28" s="321" t="str">
        <f t="shared" si="16"/>
        <v>Tube 1.5</v>
      </c>
      <c r="F28" s="411"/>
      <c r="G28" s="421" t="s">
        <v>4</v>
      </c>
      <c r="H28" s="58"/>
      <c r="I28" s="104"/>
      <c r="J28" s="517"/>
      <c r="K28" s="285"/>
      <c r="L28" s="239"/>
      <c r="M28" s="104"/>
      <c r="N28" s="240"/>
      <c r="O28" s="241" t="str">
        <f t="shared" si="0"/>
        <v xml:space="preserve"> </v>
      </c>
      <c r="P28" s="275"/>
      <c r="Q28" s="275"/>
      <c r="R28" s="221">
        <f t="shared" si="1"/>
        <v>0</v>
      </c>
      <c r="S28" s="220">
        <f t="shared" si="9"/>
        <v>0</v>
      </c>
      <c r="T28" s="80">
        <f t="shared" si="2"/>
        <v>0</v>
      </c>
      <c r="U28" s="81">
        <f t="shared" si="3"/>
        <v>0</v>
      </c>
      <c r="V28" s="81">
        <f t="shared" si="4"/>
        <v>0</v>
      </c>
      <c r="W28" s="81">
        <f t="shared" si="5"/>
        <v>0</v>
      </c>
      <c r="X28" s="81" t="str">
        <f t="shared" si="10"/>
        <v xml:space="preserve"> </v>
      </c>
      <c r="Y28" s="244">
        <f t="shared" si="11"/>
        <v>0</v>
      </c>
      <c r="Z28" s="81">
        <f t="shared" si="6"/>
        <v>0</v>
      </c>
      <c r="AA28" s="110">
        <f t="shared" si="12"/>
        <v>0</v>
      </c>
      <c r="AD28" s="55">
        <v>0</v>
      </c>
      <c r="AE28" s="55" t="str">
        <f t="shared" si="13"/>
        <v xml:space="preserve"> </v>
      </c>
      <c r="AF28" s="55" t="str">
        <f t="shared" si="14"/>
        <v xml:space="preserve"> </v>
      </c>
      <c r="AG28" s="55">
        <v>1.375</v>
      </c>
      <c r="AH28" s="58">
        <f t="shared" si="15"/>
        <v>-1.375</v>
      </c>
      <c r="AK28" s="246"/>
      <c r="AL28" s="536"/>
      <c r="AM28" s="537"/>
      <c r="AN28" s="211"/>
      <c r="AO28" s="264"/>
      <c r="AP28" s="116" t="s">
        <v>2513</v>
      </c>
      <c r="AQ28" s="293"/>
      <c r="AR28" s="271">
        <f t="shared" si="7"/>
        <v>0</v>
      </c>
      <c r="AS28" s="287" t="s">
        <v>220</v>
      </c>
      <c r="AT28" s="217" t="s">
        <v>2560</v>
      </c>
      <c r="AU28" s="252"/>
      <c r="AV28" s="278">
        <f t="shared" si="8"/>
        <v>0</v>
      </c>
      <c r="AW28" s="278"/>
      <c r="AZ28" s="219"/>
    </row>
    <row r="29" spans="1:56" ht="12.75" customHeight="1" x14ac:dyDescent="0.25">
      <c r="A29" t="s">
        <v>44</v>
      </c>
      <c r="B29" s="35" t="str">
        <f>HLOOKUP($O$5,'Data Sheet'!$B$2:$CM$27,15,FALSE)</f>
        <v>P1-RS14</v>
      </c>
      <c r="C29" s="239"/>
      <c r="D29" s="417"/>
      <c r="E29" s="321" t="str">
        <f t="shared" si="16"/>
        <v>Tube 1.5</v>
      </c>
      <c r="F29" s="411"/>
      <c r="G29" s="421" t="s">
        <v>4</v>
      </c>
      <c r="H29" s="58"/>
      <c r="I29" s="104"/>
      <c r="J29" s="517"/>
      <c r="K29" s="285"/>
      <c r="L29" s="239"/>
      <c r="M29" s="104"/>
      <c r="N29" s="240"/>
      <c r="O29" s="241" t="str">
        <f t="shared" si="0"/>
        <v xml:space="preserve"> </v>
      </c>
      <c r="P29" s="275"/>
      <c r="Q29" s="275"/>
      <c r="R29" s="221">
        <f t="shared" si="1"/>
        <v>0</v>
      </c>
      <c r="S29" s="220">
        <f t="shared" si="9"/>
        <v>0</v>
      </c>
      <c r="T29" s="80">
        <f t="shared" si="2"/>
        <v>0</v>
      </c>
      <c r="U29" s="81">
        <f t="shared" si="3"/>
        <v>0</v>
      </c>
      <c r="V29" s="81">
        <f t="shared" si="4"/>
        <v>0</v>
      </c>
      <c r="W29" s="81">
        <f t="shared" si="5"/>
        <v>0</v>
      </c>
      <c r="X29" s="81" t="str">
        <f t="shared" si="10"/>
        <v xml:space="preserve"> </v>
      </c>
      <c r="Y29" s="244">
        <f t="shared" si="11"/>
        <v>0</v>
      </c>
      <c r="Z29" s="81">
        <f t="shared" si="6"/>
        <v>0</v>
      </c>
      <c r="AA29" s="110">
        <f t="shared" si="12"/>
        <v>0</v>
      </c>
      <c r="AD29" s="55">
        <v>0</v>
      </c>
      <c r="AE29" s="55" t="str">
        <f t="shared" si="13"/>
        <v xml:space="preserve"> </v>
      </c>
      <c r="AF29" s="55" t="str">
        <f t="shared" si="14"/>
        <v xml:space="preserve"> </v>
      </c>
      <c r="AG29" s="55">
        <v>1.375</v>
      </c>
      <c r="AH29" s="58">
        <f t="shared" si="15"/>
        <v>-1.375</v>
      </c>
      <c r="AK29" s="246"/>
      <c r="AL29" s="536"/>
      <c r="AM29" s="537"/>
      <c r="AO29" s="218"/>
      <c r="AP29" s="266">
        <f>SUMIF('Data Sheet'!$L$31:$L$55,AP28,'Data Sheet'!$M$31:$M$55)/192</f>
        <v>0.904296875</v>
      </c>
      <c r="AQ29" s="294"/>
      <c r="AR29" s="271">
        <f t="shared" si="7"/>
        <v>0</v>
      </c>
      <c r="AS29" s="251"/>
      <c r="AT29" s="288">
        <f>SUMIFS('Data Sheet'!$R$31:$R$55,'Data Sheet'!$P$31:$P$55,'Data Sheet'!$B$37,'Data Sheet'!$Q$31:$Q$55,'Data Sheet'!$B$49)/12</f>
        <v>0</v>
      </c>
      <c r="AU29" s="252"/>
      <c r="AV29" s="278">
        <f t="shared" si="8"/>
        <v>0</v>
      </c>
      <c r="AW29" s="278"/>
      <c r="AX29" s="276" t="s">
        <v>2573</v>
      </c>
      <c r="AY29" s="56">
        <f>SUMIFS('Data Sheet'!$T$31:$T$55,'Data Sheet'!$U$31:$U$55,'Data Sheet'!$B$32,'Data Sheet'!$V$31:$V$55,'Data Sheet'!$B$37,'Data Sheet'!$W$31:$W$55,'Data Sheet'!$E$39)</f>
        <v>0</v>
      </c>
      <c r="AZ29" s="219"/>
    </row>
    <row r="30" spans="1:56" ht="12.75" customHeight="1" x14ac:dyDescent="0.25">
      <c r="A30" t="s">
        <v>45</v>
      </c>
      <c r="B30" s="35" t="str">
        <f>HLOOKUP($O$5,'Data Sheet'!$B$2:$CM$27,16,FALSE)</f>
        <v>P1-RS15</v>
      </c>
      <c r="C30" s="239"/>
      <c r="D30" s="417"/>
      <c r="E30" s="321" t="s">
        <v>2513</v>
      </c>
      <c r="F30" s="411"/>
      <c r="G30" s="421" t="s">
        <v>4</v>
      </c>
      <c r="H30" s="58"/>
      <c r="I30" s="104"/>
      <c r="J30" s="517"/>
      <c r="K30" s="285"/>
      <c r="L30" s="239"/>
      <c r="M30" s="104"/>
      <c r="N30" s="240"/>
      <c r="O30" s="241" t="str">
        <f t="shared" si="0"/>
        <v xml:space="preserve"> </v>
      </c>
      <c r="P30" s="275"/>
      <c r="Q30" s="243"/>
      <c r="R30" s="221">
        <f t="shared" si="1"/>
        <v>0</v>
      </c>
      <c r="S30" s="220">
        <f t="shared" si="9"/>
        <v>0</v>
      </c>
      <c r="T30" s="80">
        <f t="shared" si="2"/>
        <v>0</v>
      </c>
      <c r="U30" s="81">
        <f t="shared" si="3"/>
        <v>0</v>
      </c>
      <c r="V30" s="81">
        <f t="shared" si="4"/>
        <v>0</v>
      </c>
      <c r="W30" s="81">
        <f t="shared" si="5"/>
        <v>0</v>
      </c>
      <c r="X30" s="81" t="str">
        <f t="shared" si="10"/>
        <v xml:space="preserve"> </v>
      </c>
      <c r="Y30" s="244">
        <f t="shared" si="11"/>
        <v>0</v>
      </c>
      <c r="Z30" s="81">
        <f t="shared" si="6"/>
        <v>0</v>
      </c>
      <c r="AA30" s="110">
        <f t="shared" si="12"/>
        <v>0</v>
      </c>
      <c r="AD30" s="55">
        <v>0</v>
      </c>
      <c r="AE30" s="55" t="str">
        <f t="shared" si="13"/>
        <v xml:space="preserve"> </v>
      </c>
      <c r="AF30" s="55" t="str">
        <f t="shared" si="14"/>
        <v xml:space="preserve"> </v>
      </c>
      <c r="AG30" s="55">
        <v>1.375</v>
      </c>
      <c r="AH30" s="58">
        <f t="shared" si="15"/>
        <v>-1.375</v>
      </c>
      <c r="AK30" s="246"/>
      <c r="AL30" s="536"/>
      <c r="AM30" s="537"/>
      <c r="AN30" s="211"/>
      <c r="AO30" s="264"/>
      <c r="AP30" s="116" t="s">
        <v>2514</v>
      </c>
      <c r="AQ30" s="293"/>
      <c r="AR30" s="271">
        <f t="shared" si="7"/>
        <v>0</v>
      </c>
      <c r="AS30" s="287" t="s">
        <v>220</v>
      </c>
      <c r="AT30" s="259" t="s">
        <v>2561</v>
      </c>
      <c r="AU30" s="252"/>
      <c r="AV30" s="278">
        <f t="shared" si="8"/>
        <v>0</v>
      </c>
      <c r="AW30" s="278"/>
      <c r="AZ30" s="219"/>
    </row>
    <row r="31" spans="1:56" ht="12.75" customHeight="1" x14ac:dyDescent="0.25">
      <c r="A31" t="s">
        <v>46</v>
      </c>
      <c r="B31" s="35" t="str">
        <f>HLOOKUP($O$5,'Data Sheet'!$B$2:$CM$27,17,FALSE)</f>
        <v>P1-RS16</v>
      </c>
      <c r="C31" s="239"/>
      <c r="D31" s="417"/>
      <c r="E31" s="321" t="str">
        <f t="shared" si="16"/>
        <v>Tube 1.5</v>
      </c>
      <c r="F31" s="411"/>
      <c r="G31" s="421" t="s">
        <v>4</v>
      </c>
      <c r="H31" s="58"/>
      <c r="I31" s="104"/>
      <c r="J31" s="517"/>
      <c r="K31" s="285"/>
      <c r="L31" s="239"/>
      <c r="M31" s="104"/>
      <c r="N31" s="240"/>
      <c r="O31" s="241" t="str">
        <f t="shared" si="0"/>
        <v xml:space="preserve"> </v>
      </c>
      <c r="P31" s="275"/>
      <c r="Q31" s="243"/>
      <c r="R31" s="221">
        <f t="shared" si="1"/>
        <v>0</v>
      </c>
      <c r="S31" s="220">
        <f t="shared" si="9"/>
        <v>0</v>
      </c>
      <c r="T31" s="80">
        <f t="shared" si="2"/>
        <v>0</v>
      </c>
      <c r="U31" s="81">
        <f t="shared" si="3"/>
        <v>0</v>
      </c>
      <c r="V31" s="81">
        <f t="shared" si="4"/>
        <v>0</v>
      </c>
      <c r="W31" s="81">
        <f t="shared" si="5"/>
        <v>0</v>
      </c>
      <c r="X31" s="81" t="str">
        <f t="shared" si="10"/>
        <v xml:space="preserve"> </v>
      </c>
      <c r="Y31" s="244">
        <f t="shared" si="11"/>
        <v>0</v>
      </c>
      <c r="Z31" s="81">
        <f t="shared" si="6"/>
        <v>0</v>
      </c>
      <c r="AA31" s="110">
        <f t="shared" si="12"/>
        <v>0</v>
      </c>
      <c r="AD31" s="55">
        <v>0</v>
      </c>
      <c r="AE31" s="55" t="str">
        <f t="shared" si="13"/>
        <v xml:space="preserve"> </v>
      </c>
      <c r="AF31" s="55" t="str">
        <f t="shared" si="14"/>
        <v xml:space="preserve"> </v>
      </c>
      <c r="AG31" s="55">
        <v>1.375</v>
      </c>
      <c r="AH31" s="58">
        <f t="shared" si="15"/>
        <v>-1.375</v>
      </c>
      <c r="AK31" s="246"/>
      <c r="AL31" s="538"/>
      <c r="AM31" s="539"/>
      <c r="AO31" s="218"/>
      <c r="AP31" s="266">
        <f>SUMIF('Data Sheet'!$L$31:$L$55,AP30,'Data Sheet'!$M$31:$M$55)/192</f>
        <v>0</v>
      </c>
      <c r="AQ31" s="294"/>
      <c r="AR31" s="271">
        <f t="shared" si="7"/>
        <v>0</v>
      </c>
      <c r="AS31" s="251"/>
      <c r="AT31" s="288">
        <f>SUMIFS('Data Sheet'!$R$31:$R$55,'Data Sheet'!$P$31:$P$55,'Data Sheet'!$B$37,'Data Sheet'!$Q$31:$Q$55,'Data Sheet'!$B$50)/12</f>
        <v>0</v>
      </c>
      <c r="AU31" s="252"/>
      <c r="AV31" s="278">
        <f t="shared" si="8"/>
        <v>0</v>
      </c>
      <c r="AW31" s="278"/>
      <c r="AX31" s="276" t="s">
        <v>2574</v>
      </c>
      <c r="AY31" s="56">
        <f>SUMIFS('Data Sheet'!$T$31:$T$55,'Data Sheet'!$U$31:$U$55,'Data Sheet'!$B$31,'Data Sheet'!$V$31:$V$55,'Data Sheet'!$B$38,'Data Sheet'!$X$31:$X$55,'Data Sheet'!$B$50)</f>
        <v>0</v>
      </c>
      <c r="AZ31" s="219"/>
    </row>
    <row r="32" spans="1:56" ht="12.75" customHeight="1" x14ac:dyDescent="0.25">
      <c r="A32" t="s">
        <v>47</v>
      </c>
      <c r="B32" s="35" t="str">
        <f>HLOOKUP($O$5,'Data Sheet'!$B$2:$CM$27,18,FALSE)</f>
        <v>P1-RS17</v>
      </c>
      <c r="C32" s="239"/>
      <c r="D32" s="417"/>
      <c r="E32" s="321" t="str">
        <f t="shared" si="16"/>
        <v>Tube 1.5</v>
      </c>
      <c r="F32" s="411"/>
      <c r="G32" s="421" t="s">
        <v>4</v>
      </c>
      <c r="H32" s="58"/>
      <c r="I32" s="104"/>
      <c r="J32" s="517"/>
      <c r="K32" s="285"/>
      <c r="L32" s="239"/>
      <c r="M32" s="104"/>
      <c r="N32" s="240"/>
      <c r="O32" s="241" t="str">
        <f t="shared" si="0"/>
        <v xml:space="preserve"> </v>
      </c>
      <c r="P32" s="275"/>
      <c r="Q32" s="242"/>
      <c r="R32" s="221">
        <f t="shared" si="1"/>
        <v>0</v>
      </c>
      <c r="S32" s="220">
        <f t="shared" si="9"/>
        <v>0</v>
      </c>
      <c r="T32" s="80">
        <f t="shared" si="2"/>
        <v>0</v>
      </c>
      <c r="U32" s="81">
        <f t="shared" si="3"/>
        <v>0</v>
      </c>
      <c r="V32" s="81">
        <f t="shared" si="4"/>
        <v>0</v>
      </c>
      <c r="W32" s="81">
        <f t="shared" si="5"/>
        <v>0</v>
      </c>
      <c r="X32" s="81" t="str">
        <f t="shared" si="10"/>
        <v xml:space="preserve"> </v>
      </c>
      <c r="Y32" s="244">
        <f t="shared" si="11"/>
        <v>0</v>
      </c>
      <c r="Z32" s="81">
        <f t="shared" si="6"/>
        <v>0</v>
      </c>
      <c r="AA32" s="110">
        <f t="shared" si="12"/>
        <v>0</v>
      </c>
      <c r="AD32" s="55">
        <v>0</v>
      </c>
      <c r="AE32" s="55" t="str">
        <f t="shared" si="13"/>
        <v xml:space="preserve"> </v>
      </c>
      <c r="AF32" s="55" t="str">
        <f t="shared" si="14"/>
        <v xml:space="preserve"> </v>
      </c>
      <c r="AG32" s="55">
        <v>1.375</v>
      </c>
      <c r="AH32" s="58">
        <f t="shared" si="15"/>
        <v>-1.375</v>
      </c>
      <c r="AK32" s="246"/>
      <c r="AL32" s="117"/>
      <c r="AM32" s="211"/>
      <c r="AN32" s="211"/>
      <c r="AO32" s="264"/>
      <c r="AP32" s="116" t="s">
        <v>2515</v>
      </c>
      <c r="AQ32" s="293"/>
      <c r="AR32" s="271">
        <f t="shared" si="7"/>
        <v>0</v>
      </c>
      <c r="AS32" s="287" t="s">
        <v>220</v>
      </c>
      <c r="AT32" s="259" t="s">
        <v>2562</v>
      </c>
      <c r="AU32" s="252"/>
      <c r="AV32" s="278">
        <f t="shared" si="8"/>
        <v>0</v>
      </c>
      <c r="AW32" s="278"/>
      <c r="AZ32" s="219"/>
    </row>
    <row r="33" spans="1:54" ht="12.75" customHeight="1" x14ac:dyDescent="0.25">
      <c r="A33" t="s">
        <v>48</v>
      </c>
      <c r="B33" s="35" t="str">
        <f>HLOOKUP($O$5,'Data Sheet'!$B$2:$CM$27,19,FALSE)</f>
        <v>P1-RS18</v>
      </c>
      <c r="C33" s="239"/>
      <c r="D33" s="417"/>
      <c r="E33" s="321" t="str">
        <f t="shared" si="16"/>
        <v>Tube 1.5</v>
      </c>
      <c r="F33" s="411"/>
      <c r="G33" s="421" t="s">
        <v>4</v>
      </c>
      <c r="H33" s="58"/>
      <c r="I33" s="104"/>
      <c r="J33" s="517"/>
      <c r="K33" s="285"/>
      <c r="L33" s="239"/>
      <c r="M33" s="104"/>
      <c r="N33" s="240"/>
      <c r="O33" s="241" t="str">
        <f t="shared" si="0"/>
        <v xml:space="preserve"> </v>
      </c>
      <c r="P33" s="275"/>
      <c r="Q33" s="242"/>
      <c r="R33" s="221">
        <f t="shared" si="1"/>
        <v>0</v>
      </c>
      <c r="S33" s="220">
        <f t="shared" si="9"/>
        <v>0</v>
      </c>
      <c r="T33" s="80">
        <f t="shared" si="2"/>
        <v>0</v>
      </c>
      <c r="U33" s="81">
        <f t="shared" si="3"/>
        <v>0</v>
      </c>
      <c r="V33" s="81">
        <f t="shared" si="4"/>
        <v>0</v>
      </c>
      <c r="W33" s="81">
        <f t="shared" si="5"/>
        <v>0</v>
      </c>
      <c r="X33" s="81" t="str">
        <f t="shared" si="10"/>
        <v xml:space="preserve"> </v>
      </c>
      <c r="Y33" s="244">
        <f t="shared" si="11"/>
        <v>0</v>
      </c>
      <c r="Z33" s="81">
        <f t="shared" si="6"/>
        <v>0</v>
      </c>
      <c r="AA33" s="110">
        <f t="shared" si="12"/>
        <v>0</v>
      </c>
      <c r="AD33" s="55">
        <v>0</v>
      </c>
      <c r="AE33" s="55" t="str">
        <f t="shared" si="13"/>
        <v xml:space="preserve"> </v>
      </c>
      <c r="AF33" s="55" t="str">
        <f t="shared" si="14"/>
        <v xml:space="preserve"> </v>
      </c>
      <c r="AG33" s="55">
        <v>1.375</v>
      </c>
      <c r="AH33" s="58">
        <f t="shared" si="15"/>
        <v>-1.375</v>
      </c>
      <c r="AK33" s="246"/>
      <c r="AO33" s="218"/>
      <c r="AP33" s="266">
        <f>SUMIF('Data Sheet'!$L$31:$L$55,AP32,'Data Sheet'!$M$31:$M$55)/192</f>
        <v>0.45833333333333331</v>
      </c>
      <c r="AQ33" s="294"/>
      <c r="AR33" s="271">
        <f t="shared" si="7"/>
        <v>0</v>
      </c>
      <c r="AS33" s="251"/>
      <c r="AT33" s="288">
        <f>SUMIFS('Data Sheet'!$R$31:$R$55,'Data Sheet'!$P$31:$P$55,'Data Sheet'!$B$37,'Data Sheet'!$Q$31:$Q$55,'Data Sheet'!$B$51)/12</f>
        <v>0</v>
      </c>
      <c r="AU33" s="252"/>
      <c r="AV33" s="278">
        <f t="shared" si="8"/>
        <v>0</v>
      </c>
      <c r="AW33" s="278"/>
      <c r="AX33" s="276" t="s">
        <v>2575</v>
      </c>
      <c r="AY33" s="56">
        <f>SUMIFS('Data Sheet'!$T$31:$T$55,'Data Sheet'!$U$31:$U$55,'Data Sheet'!$B$31,'Data Sheet'!$V$31:$V$55,'Data Sheet'!$B$38,'Data Sheet'!$X$31:$X$55,'Data Sheet'!$B$49)</f>
        <v>5</v>
      </c>
      <c r="AZ33" s="219"/>
    </row>
    <row r="34" spans="1:54" ht="12.75" customHeight="1" thickBot="1" x14ac:dyDescent="0.3">
      <c r="A34" t="s">
        <v>49</v>
      </c>
      <c r="B34" s="35" t="str">
        <f>HLOOKUP($O$5,'Data Sheet'!$B$2:$CM$27,20,FALSE)</f>
        <v>P1-RS19</v>
      </c>
      <c r="C34" s="239"/>
      <c r="D34" s="417"/>
      <c r="E34" s="321" t="str">
        <f t="shared" si="16"/>
        <v>Tube 1.5</v>
      </c>
      <c r="F34" s="411"/>
      <c r="G34" s="421" t="s">
        <v>4</v>
      </c>
      <c r="H34" s="58"/>
      <c r="I34" s="104"/>
      <c r="J34" s="517"/>
      <c r="K34" s="285"/>
      <c r="L34" s="239"/>
      <c r="M34" s="104"/>
      <c r="N34" s="240"/>
      <c r="O34" s="241" t="str">
        <f t="shared" si="0"/>
        <v xml:space="preserve"> </v>
      </c>
      <c r="P34" s="275"/>
      <c r="Q34" s="242"/>
      <c r="R34" s="221">
        <f t="shared" si="1"/>
        <v>0</v>
      </c>
      <c r="S34" s="220">
        <f t="shared" si="9"/>
        <v>0</v>
      </c>
      <c r="T34" s="80">
        <f t="shared" si="2"/>
        <v>0</v>
      </c>
      <c r="U34" s="81">
        <f t="shared" si="3"/>
        <v>0</v>
      </c>
      <c r="V34" s="81">
        <f t="shared" si="4"/>
        <v>0</v>
      </c>
      <c r="W34" s="81">
        <f t="shared" si="5"/>
        <v>0</v>
      </c>
      <c r="X34" s="81" t="str">
        <f t="shared" si="10"/>
        <v xml:space="preserve"> </v>
      </c>
      <c r="Y34" s="244">
        <f t="shared" si="11"/>
        <v>0</v>
      </c>
      <c r="Z34" s="81">
        <f t="shared" si="6"/>
        <v>0</v>
      </c>
      <c r="AA34" s="110">
        <f t="shared" si="12"/>
        <v>0</v>
      </c>
      <c r="AD34" s="55">
        <v>0</v>
      </c>
      <c r="AE34" s="55" t="str">
        <f t="shared" si="13"/>
        <v xml:space="preserve"> </v>
      </c>
      <c r="AF34" s="55" t="str">
        <f t="shared" si="14"/>
        <v xml:space="preserve"> </v>
      </c>
      <c r="AG34" s="55">
        <v>1.375</v>
      </c>
      <c r="AH34" s="58">
        <f t="shared" si="15"/>
        <v>-1.375</v>
      </c>
      <c r="AK34" s="247"/>
      <c r="AL34" s="69"/>
      <c r="AM34" s="248"/>
      <c r="AN34" s="248"/>
      <c r="AO34" s="218"/>
      <c r="AP34" s="116" t="s">
        <v>2512</v>
      </c>
      <c r="AQ34" s="293"/>
      <c r="AR34" s="271">
        <f t="shared" si="7"/>
        <v>0</v>
      </c>
      <c r="AS34" s="287" t="s">
        <v>220</v>
      </c>
      <c r="AT34" s="259" t="s">
        <v>2563</v>
      </c>
      <c r="AU34" s="252"/>
      <c r="AV34" s="278">
        <f t="shared" si="8"/>
        <v>0</v>
      </c>
      <c r="AW34" s="278"/>
      <c r="AZ34" s="219"/>
    </row>
    <row r="35" spans="1:54" ht="12.75" customHeight="1" x14ac:dyDescent="0.25">
      <c r="A35" t="s">
        <v>50</v>
      </c>
      <c r="B35" s="35" t="str">
        <f>HLOOKUP($O$5,'Data Sheet'!$B$2:$CM$27,21,FALSE)</f>
        <v>P1-RS20</v>
      </c>
      <c r="C35" s="239"/>
      <c r="D35" s="417"/>
      <c r="E35" s="321" t="str">
        <f t="shared" si="16"/>
        <v>Tube 1.5</v>
      </c>
      <c r="F35" s="411"/>
      <c r="G35" s="421" t="s">
        <v>4</v>
      </c>
      <c r="H35" s="58"/>
      <c r="I35" s="104"/>
      <c r="J35" s="517"/>
      <c r="K35" s="285"/>
      <c r="L35" s="239"/>
      <c r="M35" s="104"/>
      <c r="N35" s="240"/>
      <c r="O35" s="241" t="str">
        <f t="shared" si="0"/>
        <v xml:space="preserve"> </v>
      </c>
      <c r="P35" s="275"/>
      <c r="Q35" s="242"/>
      <c r="R35" s="221">
        <f t="shared" si="1"/>
        <v>0</v>
      </c>
      <c r="S35" s="220">
        <f t="shared" si="9"/>
        <v>0</v>
      </c>
      <c r="T35" s="80">
        <f t="shared" si="2"/>
        <v>0</v>
      </c>
      <c r="U35" s="81">
        <f t="shared" si="3"/>
        <v>0</v>
      </c>
      <c r="V35" s="81">
        <f t="shared" si="4"/>
        <v>0</v>
      </c>
      <c r="W35" s="81">
        <f t="shared" si="5"/>
        <v>0</v>
      </c>
      <c r="X35" s="81" t="str">
        <f t="shared" si="10"/>
        <v xml:space="preserve"> </v>
      </c>
      <c r="Y35" s="244">
        <f t="shared" si="11"/>
        <v>0</v>
      </c>
      <c r="Z35" s="81">
        <f t="shared" si="6"/>
        <v>0</v>
      </c>
      <c r="AA35" s="110">
        <f t="shared" si="12"/>
        <v>0</v>
      </c>
      <c r="AD35" s="55">
        <v>0</v>
      </c>
      <c r="AE35" s="55" t="str">
        <f t="shared" si="13"/>
        <v xml:space="preserve"> </v>
      </c>
      <c r="AF35" s="55" t="str">
        <f t="shared" si="14"/>
        <v xml:space="preserve"> </v>
      </c>
      <c r="AG35" s="55">
        <v>1.375</v>
      </c>
      <c r="AH35" s="58">
        <f t="shared" si="15"/>
        <v>-1.375</v>
      </c>
      <c r="AO35" s="218"/>
      <c r="AP35" s="266">
        <f>SUMIF('Data Sheet'!$L$31:$L$55,AP34,'Data Sheet'!$M$31:$M$55)/192</f>
        <v>0</v>
      </c>
      <c r="AQ35" s="294"/>
      <c r="AR35" s="271">
        <f t="shared" si="7"/>
        <v>0</v>
      </c>
      <c r="AS35" s="251"/>
      <c r="AT35" s="288">
        <f>SUMIFS('Data Sheet'!$R$31:$R$55,'Data Sheet'!$P$31:$P$55,'Data Sheet'!$B$37,'Data Sheet'!$Q$31:$Q$55,'Data Sheet'!$B$52)/12</f>
        <v>0</v>
      </c>
      <c r="AU35" s="252"/>
      <c r="AV35" s="278">
        <f t="shared" si="8"/>
        <v>0</v>
      </c>
      <c r="AW35" s="278"/>
      <c r="AX35" s="276" t="s">
        <v>2576</v>
      </c>
      <c r="AY35" s="56">
        <f>SUMIFS('Data Sheet'!$T$31:$T$55,'Data Sheet'!$U$31:$U$55,'Data Sheet'!$B$31,'Data Sheet'!$V$31:$V$55,'Data Sheet'!$B$38,'Data Sheet'!$X$31:$X$55,'Data Sheet'!$B$51)</f>
        <v>0</v>
      </c>
      <c r="AZ35" s="219"/>
    </row>
    <row r="36" spans="1:54" ht="12.75" customHeight="1" x14ac:dyDescent="0.25">
      <c r="A36" t="s">
        <v>182</v>
      </c>
      <c r="B36" s="35" t="str">
        <f>HLOOKUP($O$5,'Data Sheet'!$B$2:$CM$27,22,FALSE)</f>
        <v>P1-RS21</v>
      </c>
      <c r="C36" s="239"/>
      <c r="D36" s="417"/>
      <c r="E36" s="321" t="str">
        <f t="shared" si="16"/>
        <v>Tube 1.5</v>
      </c>
      <c r="F36" s="411"/>
      <c r="G36" s="421" t="s">
        <v>4</v>
      </c>
      <c r="H36" s="58"/>
      <c r="I36" s="104"/>
      <c r="J36" s="517"/>
      <c r="K36" s="285"/>
      <c r="L36" s="239"/>
      <c r="M36" s="104"/>
      <c r="N36" s="240"/>
      <c r="O36" s="241" t="str">
        <f t="shared" si="0"/>
        <v xml:space="preserve"> </v>
      </c>
      <c r="P36" s="275"/>
      <c r="Q36" s="242"/>
      <c r="R36" s="221">
        <f t="shared" si="1"/>
        <v>0</v>
      </c>
      <c r="S36" s="220">
        <f t="shared" si="9"/>
        <v>0</v>
      </c>
      <c r="T36" s="80">
        <f t="shared" si="2"/>
        <v>0</v>
      </c>
      <c r="U36" s="81">
        <f t="shared" si="3"/>
        <v>0</v>
      </c>
      <c r="V36" s="81">
        <f t="shared" si="4"/>
        <v>0</v>
      </c>
      <c r="W36" s="81">
        <f t="shared" si="5"/>
        <v>0</v>
      </c>
      <c r="X36" s="81" t="str">
        <f t="shared" si="10"/>
        <v xml:space="preserve"> </v>
      </c>
      <c r="Y36" s="244">
        <f t="shared" si="11"/>
        <v>0</v>
      </c>
      <c r="Z36" s="81">
        <f t="shared" si="6"/>
        <v>0</v>
      </c>
      <c r="AA36" s="110">
        <f t="shared" si="12"/>
        <v>0</v>
      </c>
      <c r="AD36" s="55">
        <v>0</v>
      </c>
      <c r="AE36" s="55" t="str">
        <f t="shared" si="13"/>
        <v xml:space="preserve"> </v>
      </c>
      <c r="AF36" s="55" t="str">
        <f t="shared" si="14"/>
        <v xml:space="preserve"> </v>
      </c>
      <c r="AG36" s="55">
        <v>1.375</v>
      </c>
      <c r="AH36" s="58">
        <f t="shared" si="15"/>
        <v>-1.375</v>
      </c>
      <c r="AO36" s="218"/>
      <c r="AQ36" s="219"/>
      <c r="AR36" s="271">
        <f t="shared" si="7"/>
        <v>0</v>
      </c>
      <c r="AS36" s="251"/>
      <c r="AU36" s="252"/>
      <c r="AV36" s="278">
        <f t="shared" si="8"/>
        <v>0</v>
      </c>
      <c r="AW36" s="278"/>
      <c r="AZ36" s="219"/>
    </row>
    <row r="37" spans="1:54" ht="12.75" customHeight="1" thickBot="1" x14ac:dyDescent="0.3">
      <c r="A37" t="s">
        <v>183</v>
      </c>
      <c r="B37" s="35" t="str">
        <f>HLOOKUP($O$5,'Data Sheet'!$B$2:$CM$27,23,FALSE)</f>
        <v>P1-RS22</v>
      </c>
      <c r="C37" s="239"/>
      <c r="D37" s="417"/>
      <c r="E37" s="321" t="str">
        <f t="shared" si="16"/>
        <v>Tube 1.5</v>
      </c>
      <c r="F37" s="418"/>
      <c r="G37" s="421" t="s">
        <v>4</v>
      </c>
      <c r="H37" s="58"/>
      <c r="I37" s="104"/>
      <c r="J37" s="517"/>
      <c r="K37" s="285"/>
      <c r="L37" s="239"/>
      <c r="M37" s="104"/>
      <c r="N37" s="240"/>
      <c r="O37" s="241" t="str">
        <f t="shared" si="0"/>
        <v xml:space="preserve"> </v>
      </c>
      <c r="P37" s="275"/>
      <c r="Q37" s="242"/>
      <c r="R37" s="221">
        <f t="shared" si="1"/>
        <v>0</v>
      </c>
      <c r="S37" s="220">
        <f t="shared" si="9"/>
        <v>0</v>
      </c>
      <c r="T37" s="80">
        <f t="shared" si="2"/>
        <v>0</v>
      </c>
      <c r="U37" s="81">
        <f t="shared" si="3"/>
        <v>0</v>
      </c>
      <c r="V37" s="81">
        <f t="shared" si="4"/>
        <v>0</v>
      </c>
      <c r="W37" s="81">
        <f t="shared" si="5"/>
        <v>0</v>
      </c>
      <c r="X37" s="81" t="str">
        <f t="shared" si="10"/>
        <v xml:space="preserve"> </v>
      </c>
      <c r="Y37" s="244">
        <f t="shared" si="11"/>
        <v>0</v>
      </c>
      <c r="Z37" s="81">
        <f t="shared" si="6"/>
        <v>0</v>
      </c>
      <c r="AA37" s="110">
        <f t="shared" si="12"/>
        <v>0</v>
      </c>
      <c r="AD37" s="55">
        <v>0</v>
      </c>
      <c r="AE37" s="55" t="str">
        <f t="shared" si="13"/>
        <v xml:space="preserve"> </v>
      </c>
      <c r="AF37" s="55" t="str">
        <f t="shared" si="14"/>
        <v xml:space="preserve"> </v>
      </c>
      <c r="AG37" s="55">
        <v>1.375</v>
      </c>
      <c r="AH37" s="58">
        <f t="shared" si="15"/>
        <v>-1.375</v>
      </c>
      <c r="AL37" s="549"/>
      <c r="AO37" s="265"/>
      <c r="AP37" s="248"/>
      <c r="AQ37" s="283"/>
      <c r="AR37" s="271">
        <f t="shared" si="7"/>
        <v>0</v>
      </c>
      <c r="AS37" s="253"/>
      <c r="AT37" s="274"/>
      <c r="AU37" s="254"/>
      <c r="AV37" s="278">
        <f t="shared" si="8"/>
        <v>0</v>
      </c>
      <c r="AW37" s="278"/>
      <c r="AX37" s="276" t="s">
        <v>2577</v>
      </c>
      <c r="AY37" s="56">
        <f>SUMIFS('Data Sheet'!$T$31:$T$55,'Data Sheet'!$U$31:$U$55,'Data Sheet'!$B$31,'Data Sheet'!$V$31:$V$55,'Data Sheet'!$B$38,'Data Sheet'!$X$31:$X$55,'Data Sheet'!$B$52)</f>
        <v>0</v>
      </c>
      <c r="AZ37" s="219"/>
    </row>
    <row r="38" spans="1:54" ht="12.75" customHeight="1" x14ac:dyDescent="0.25">
      <c r="A38" t="s">
        <v>184</v>
      </c>
      <c r="B38" s="35" t="str">
        <f>HLOOKUP($O$5,'Data Sheet'!$B$2:$CM$27,24,FALSE)</f>
        <v>P1-RS23</v>
      </c>
      <c r="C38" s="239"/>
      <c r="D38" s="417"/>
      <c r="E38" s="321" t="str">
        <f t="shared" si="16"/>
        <v>Tube 1.5</v>
      </c>
      <c r="F38" s="411"/>
      <c r="G38" s="421" t="s">
        <v>4</v>
      </c>
      <c r="H38" s="58"/>
      <c r="I38" s="104"/>
      <c r="J38" s="517"/>
      <c r="K38" s="285"/>
      <c r="L38" s="239"/>
      <c r="M38" s="104"/>
      <c r="N38" s="240"/>
      <c r="O38" s="241" t="str">
        <f t="shared" si="0"/>
        <v xml:space="preserve"> </v>
      </c>
      <c r="P38" s="275"/>
      <c r="Q38" s="242"/>
      <c r="R38" s="221">
        <f t="shared" si="1"/>
        <v>0</v>
      </c>
      <c r="S38" s="220">
        <f t="shared" si="9"/>
        <v>0</v>
      </c>
      <c r="T38" s="80">
        <f t="shared" si="2"/>
        <v>0</v>
      </c>
      <c r="U38" s="81">
        <f t="shared" si="3"/>
        <v>0</v>
      </c>
      <c r="V38" s="81">
        <f t="shared" si="4"/>
        <v>0</v>
      </c>
      <c r="W38" s="81">
        <f t="shared" si="5"/>
        <v>0</v>
      </c>
      <c r="X38" s="81" t="str">
        <f t="shared" si="10"/>
        <v xml:space="preserve"> </v>
      </c>
      <c r="Y38" s="244">
        <f t="shared" si="11"/>
        <v>0</v>
      </c>
      <c r="Z38" s="81">
        <f t="shared" si="6"/>
        <v>0</v>
      </c>
      <c r="AA38" s="110">
        <f t="shared" si="12"/>
        <v>0</v>
      </c>
      <c r="AD38" s="55">
        <v>0</v>
      </c>
      <c r="AE38" s="55" t="str">
        <f t="shared" si="13"/>
        <v xml:space="preserve"> </v>
      </c>
      <c r="AF38" s="55" t="str">
        <f t="shared" si="14"/>
        <v xml:space="preserve"> </v>
      </c>
      <c r="AG38" s="55">
        <v>1.375</v>
      </c>
      <c r="AH38" s="58">
        <f t="shared" si="15"/>
        <v>-1.375</v>
      </c>
      <c r="AL38" s="549"/>
      <c r="AM38" s="259"/>
      <c r="AN38" s="259"/>
      <c r="AO38" s="342"/>
      <c r="AP38" s="260"/>
      <c r="AQ38" s="291"/>
      <c r="AR38" s="340">
        <f t="shared" si="7"/>
        <v>0</v>
      </c>
      <c r="AS38" s="252"/>
      <c r="AU38" s="252"/>
      <c r="AV38" s="278">
        <f t="shared" si="8"/>
        <v>0</v>
      </c>
      <c r="AW38" s="278"/>
      <c r="AZ38" s="219"/>
    </row>
    <row r="39" spans="1:54" ht="12.75" customHeight="1" x14ac:dyDescent="0.3">
      <c r="A39" t="s">
        <v>185</v>
      </c>
      <c r="B39" s="35" t="str">
        <f>HLOOKUP($O$5,'Data Sheet'!$B$2:$CM$27,25,FALSE)</f>
        <v>P1-RS24</v>
      </c>
      <c r="C39" s="239"/>
      <c r="D39" s="417"/>
      <c r="E39" s="321" t="str">
        <f t="shared" si="16"/>
        <v>Tube 1.5</v>
      </c>
      <c r="F39" s="411"/>
      <c r="G39" s="421" t="s">
        <v>4</v>
      </c>
      <c r="H39" s="58"/>
      <c r="I39" s="104"/>
      <c r="J39" s="517"/>
      <c r="K39" s="285"/>
      <c r="L39" s="239"/>
      <c r="M39" s="104"/>
      <c r="N39" s="240"/>
      <c r="O39" s="241" t="str">
        <f t="shared" si="0"/>
        <v xml:space="preserve"> </v>
      </c>
      <c r="P39" s="275"/>
      <c r="Q39" s="242"/>
      <c r="R39" s="221">
        <f t="shared" si="1"/>
        <v>0</v>
      </c>
      <c r="S39" s="220">
        <f t="shared" si="9"/>
        <v>0</v>
      </c>
      <c r="T39" s="80">
        <f t="shared" si="2"/>
        <v>0</v>
      </c>
      <c r="U39" s="81">
        <f t="shared" si="3"/>
        <v>0</v>
      </c>
      <c r="V39" s="81">
        <f t="shared" si="4"/>
        <v>0</v>
      </c>
      <c r="W39" s="81">
        <f t="shared" si="5"/>
        <v>0</v>
      </c>
      <c r="X39" s="81" t="str">
        <f t="shared" si="10"/>
        <v xml:space="preserve"> </v>
      </c>
      <c r="Y39" s="244">
        <f t="shared" si="11"/>
        <v>0</v>
      </c>
      <c r="Z39" s="81">
        <f t="shared" si="6"/>
        <v>0</v>
      </c>
      <c r="AA39" s="110">
        <f t="shared" si="12"/>
        <v>0</v>
      </c>
      <c r="AD39" s="55">
        <v>0</v>
      </c>
      <c r="AE39" s="55" t="str">
        <f t="shared" si="13"/>
        <v xml:space="preserve"> </v>
      </c>
      <c r="AF39" s="55" t="str">
        <f t="shared" si="14"/>
        <v xml:space="preserve"> </v>
      </c>
      <c r="AG39" s="55">
        <v>1.375</v>
      </c>
      <c r="AH39" s="58">
        <f t="shared" si="15"/>
        <v>-1.375</v>
      </c>
      <c r="AO39" s="218"/>
      <c r="AP39" s="347" t="s">
        <v>2615</v>
      </c>
      <c r="AQ39" s="219"/>
      <c r="AR39" s="340">
        <f t="shared" si="7"/>
        <v>0</v>
      </c>
      <c r="AS39" s="252"/>
      <c r="AU39" s="252"/>
      <c r="AV39" s="278">
        <f t="shared" si="8"/>
        <v>0</v>
      </c>
      <c r="AW39" s="278"/>
      <c r="AX39" s="276" t="s">
        <v>2578</v>
      </c>
      <c r="AY39" s="56">
        <f>SUMIFS('Data Sheet'!T31:T55,'Data Sheet'!U31:U55,'Data Sheet'!B32,'Data Sheet'!V31:V55,'Data Sheet'!B38,'Data Sheet'!X31:X55,'Data Sheet'!B50)</f>
        <v>0</v>
      </c>
      <c r="AZ39" s="219"/>
    </row>
    <row r="40" spans="1:54" ht="12.75" customHeight="1" thickBot="1" x14ac:dyDescent="0.3">
      <c r="A40" t="s">
        <v>186</v>
      </c>
      <c r="B40" s="35" t="str">
        <f>HLOOKUP($O$5,'Data Sheet'!$B$2:$CM$27,26,FALSE)</f>
        <v>P1-RS25</v>
      </c>
      <c r="C40" s="239"/>
      <c r="D40" s="417"/>
      <c r="E40" s="321" t="str">
        <f t="shared" si="16"/>
        <v>Tube 1.5</v>
      </c>
      <c r="F40" s="411"/>
      <c r="G40" s="421" t="s">
        <v>4</v>
      </c>
      <c r="H40" s="58"/>
      <c r="I40" s="104"/>
      <c r="J40" s="517"/>
      <c r="K40" s="286"/>
      <c r="L40" s="239"/>
      <c r="M40" s="104"/>
      <c r="N40" s="240"/>
      <c r="O40" s="241" t="str">
        <f t="shared" si="0"/>
        <v xml:space="preserve"> </v>
      </c>
      <c r="P40" s="243"/>
      <c r="Q40" s="243"/>
      <c r="R40" s="350">
        <f t="shared" si="1"/>
        <v>0</v>
      </c>
      <c r="S40" s="81">
        <f t="shared" si="9"/>
        <v>0</v>
      </c>
      <c r="T40" s="80">
        <f t="shared" si="2"/>
        <v>0</v>
      </c>
      <c r="U40" s="81">
        <f t="shared" si="3"/>
        <v>0</v>
      </c>
      <c r="V40" s="81">
        <f t="shared" si="4"/>
        <v>0</v>
      </c>
      <c r="W40" s="81">
        <f t="shared" si="5"/>
        <v>0</v>
      </c>
      <c r="X40" s="81" t="str">
        <f t="shared" si="10"/>
        <v xml:space="preserve"> </v>
      </c>
      <c r="Y40" s="244">
        <f t="shared" si="11"/>
        <v>0</v>
      </c>
      <c r="Z40" s="81">
        <f t="shared" si="6"/>
        <v>0</v>
      </c>
      <c r="AA40" s="110">
        <f t="shared" si="12"/>
        <v>0</v>
      </c>
      <c r="AD40" s="55">
        <v>0</v>
      </c>
      <c r="AE40" s="55" t="str">
        <f t="shared" si="13"/>
        <v xml:space="preserve"> </v>
      </c>
      <c r="AF40" s="55" t="str">
        <f t="shared" si="14"/>
        <v xml:space="preserve"> </v>
      </c>
      <c r="AG40" s="55">
        <v>1.375</v>
      </c>
      <c r="AH40" s="58">
        <f t="shared" si="15"/>
        <v>-1.375</v>
      </c>
      <c r="AL40" s="551" t="s">
        <v>2643</v>
      </c>
      <c r="AM40" s="551"/>
      <c r="AN40" s="211"/>
      <c r="AO40" s="264"/>
      <c r="AQ40" s="219"/>
      <c r="AR40" s="340">
        <f t="shared" si="7"/>
        <v>0</v>
      </c>
      <c r="AS40" s="252"/>
      <c r="AU40" s="252"/>
      <c r="AV40" s="278">
        <f t="shared" si="8"/>
        <v>0</v>
      </c>
      <c r="AW40" s="278"/>
      <c r="AZ40" s="219"/>
    </row>
    <row r="41" spans="1:54" s="9" customFormat="1" ht="15.75" customHeight="1" thickBot="1" x14ac:dyDescent="0.3">
      <c r="B41" s="59"/>
      <c r="C41" s="557">
        <f>SUM(D16:D40)</f>
        <v>7</v>
      </c>
      <c r="D41" s="557"/>
      <c r="E41" s="9" t="s">
        <v>8</v>
      </c>
      <c r="F41" s="61"/>
      <c r="H41" s="62"/>
      <c r="S41" s="63" t="s">
        <v>6</v>
      </c>
      <c r="U41" s="63">
        <f t="shared" ref="U41:Z41" si="18">SUM(U16:U40)</f>
        <v>1035.20625</v>
      </c>
      <c r="V41" s="63">
        <f t="shared" si="18"/>
        <v>245.10416666666666</v>
      </c>
      <c r="W41" s="63">
        <f t="shared" si="18"/>
        <v>0</v>
      </c>
      <c r="X41" s="63">
        <f t="shared" si="18"/>
        <v>112</v>
      </c>
      <c r="Y41" s="63">
        <f t="shared" si="18"/>
        <v>196</v>
      </c>
      <c r="Z41" s="63">
        <f t="shared" si="18"/>
        <v>0</v>
      </c>
      <c r="AA41" s="83">
        <f>SUM(U41:Z41)+V44</f>
        <v>1589.2404166666668</v>
      </c>
      <c r="AL41" s="512" t="s">
        <v>2646</v>
      </c>
      <c r="AM41" s="512">
        <v>50</v>
      </c>
      <c r="AN41" s="297"/>
      <c r="AO41" s="343"/>
      <c r="AP41" s="289" t="e">
        <f>'Data Sheet'!N81/216</f>
        <v>#REF!</v>
      </c>
      <c r="AQ41" s="281"/>
      <c r="AR41" s="348">
        <f>SUM(AR16:AR40)/12</f>
        <v>23.770833333333332</v>
      </c>
      <c r="AS41" s="259"/>
      <c r="AT41" s="259"/>
      <c r="AU41" s="259"/>
      <c r="AV41" s="348">
        <f>SUM(AV16:AV40)/12</f>
        <v>44.75</v>
      </c>
      <c r="AW41" s="258"/>
      <c r="AX41" s="276" t="s">
        <v>2579</v>
      </c>
      <c r="AY41" s="290">
        <f>SUMIFS('Data Sheet'!$T$31:$T$55,'Data Sheet'!$U$31:$U$55,'Data Sheet'!$B$32,'Data Sheet'!$V$31:$V$55,'Data Sheet'!$B$38,'Data Sheet'!$X$31:$X$55,'Data Sheet'!$B$49)</f>
        <v>0</v>
      </c>
      <c r="AZ41" s="281"/>
      <c r="BA41" s="8"/>
      <c r="BB41"/>
    </row>
    <row r="42" spans="1:54" ht="16.2" thickBot="1" x14ac:dyDescent="0.35">
      <c r="B42" s="49" t="s">
        <v>85</v>
      </c>
      <c r="C42" s="9"/>
      <c r="D42" s="60"/>
      <c r="E42" s="50"/>
      <c r="F42" s="61"/>
      <c r="G42" s="9"/>
      <c r="H42" s="50"/>
      <c r="I42" s="9"/>
      <c r="K42" s="314"/>
      <c r="L42" s="315" t="s">
        <v>204</v>
      </c>
      <c r="M42" s="528" t="s">
        <v>2670</v>
      </c>
      <c r="N42" s="9"/>
      <c r="O42" s="558" t="s">
        <v>202</v>
      </c>
      <c r="P42" s="559"/>
      <c r="Q42" s="560"/>
      <c r="R42" s="108"/>
      <c r="S42" s="108"/>
      <c r="T42" s="109"/>
      <c r="U42"/>
      <c r="V42" s="110"/>
      <c r="W42" s="110"/>
      <c r="X42" s="110"/>
      <c r="Y42" s="110"/>
      <c r="Z42" s="111" t="s">
        <v>194</v>
      </c>
      <c r="AA42" s="82">
        <f>'Worksheet (2)'!AA41</f>
        <v>0</v>
      </c>
      <c r="AL42" s="512" t="s">
        <v>2647</v>
      </c>
      <c r="AM42" s="512">
        <v>100</v>
      </c>
      <c r="AN42" s="297"/>
      <c r="AO42" s="344"/>
      <c r="AP42" s="345"/>
      <c r="AQ42" s="341"/>
      <c r="AR42" s="341" t="s">
        <v>2540</v>
      </c>
      <c r="AS42" s="217"/>
      <c r="AT42" s="217"/>
      <c r="AU42" s="217"/>
      <c r="AV42" s="8" t="s">
        <v>2540</v>
      </c>
      <c r="AW42" s="218"/>
      <c r="AY42" s="217"/>
      <c r="AZ42" s="282"/>
    </row>
    <row r="43" spans="1:54" ht="15" customHeight="1" x14ac:dyDescent="0.3">
      <c r="E43" s="50" t="s">
        <v>84</v>
      </c>
      <c r="O43" s="561" t="s">
        <v>82</v>
      </c>
      <c r="P43" s="562"/>
      <c r="Q43" s="563"/>
      <c r="S43" s="110"/>
      <c r="T43" s="110"/>
      <c r="U43" s="110"/>
      <c r="V43" s="110"/>
      <c r="W43" s="110"/>
      <c r="X43" s="110"/>
      <c r="Y43" s="110"/>
      <c r="Z43" s="42" t="s">
        <v>2641</v>
      </c>
      <c r="AA43" s="82">
        <f>AA11+AA12+'Worksheet (2)'!AA11+'Worksheet (2)'!AA12</f>
        <v>0</v>
      </c>
      <c r="AL43" s="512" t="s">
        <v>2648</v>
      </c>
      <c r="AM43" s="512">
        <v>175</v>
      </c>
      <c r="AN43" s="297"/>
      <c r="AO43" s="297"/>
      <c r="AP43" s="211"/>
      <c r="AQ43" s="211"/>
      <c r="AW43" s="218"/>
      <c r="AX43" s="276" t="s">
        <v>2580</v>
      </c>
      <c r="AY43" s="56">
        <f>SUMIFS('Data Sheet'!$T$31:$T$55,'Data Sheet'!$U$31:$U$55,'Data Sheet'!$B$32,'Data Sheet'!$V$31:$V$55,'Data Sheet'!$B$38,'Data Sheet'!$X$31:$X$55,'Data Sheet'!$B$52)</f>
        <v>0</v>
      </c>
      <c r="AZ43" s="219"/>
    </row>
    <row r="44" spans="1:54" ht="15" customHeight="1" thickBot="1" x14ac:dyDescent="0.3">
      <c r="C44" s="64" t="s">
        <v>87</v>
      </c>
      <c r="D44" s="2"/>
      <c r="E44" s="2"/>
      <c r="F44" s="88"/>
      <c r="H44"/>
      <c r="O44" s="561" t="s">
        <v>216</v>
      </c>
      <c r="P44" s="562"/>
      <c r="Q44" s="563"/>
      <c r="S44" s="110"/>
      <c r="T44" s="110"/>
      <c r="U44" s="42" t="s">
        <v>2591</v>
      </c>
      <c r="V44" s="320">
        <v>0.93</v>
      </c>
      <c r="W44" s="318" t="s">
        <v>19</v>
      </c>
      <c r="X44" s="110"/>
      <c r="Y44" s="110"/>
      <c r="Z44" s="42" t="s">
        <v>2642</v>
      </c>
      <c r="AA44" s="82">
        <f>+IF(AA41+AA42&lt;500,AM41,IF(AA41+AA42&lt;1000,AM42,IF(AA41+AA42&lt;3000,AM43,IF(AA41+AA42&lt;8000,AM44,IF(AA41+AA42&gt;7999,AM45," ")))))</f>
        <v>175</v>
      </c>
      <c r="AL44" s="512" t="s">
        <v>2649</v>
      </c>
      <c r="AM44" s="512">
        <v>250</v>
      </c>
      <c r="AN44" s="297"/>
      <c r="AO44" s="297"/>
      <c r="AP44" s="217"/>
      <c r="AQ44" s="217"/>
      <c r="AW44" s="265"/>
      <c r="AX44" s="248"/>
      <c r="AY44" s="248"/>
      <c r="AZ44" s="283"/>
    </row>
    <row r="45" spans="1:54" ht="15" customHeight="1" x14ac:dyDescent="0.25">
      <c r="C45" s="89" t="s">
        <v>69</v>
      </c>
      <c r="D45" s="90"/>
      <c r="E45" s="90"/>
      <c r="F45" s="91"/>
      <c r="H45"/>
      <c r="M45" s="35"/>
      <c r="O45" s="540" t="s">
        <v>2625</v>
      </c>
      <c r="P45" s="541"/>
      <c r="Q45" s="542"/>
      <c r="S45" s="110"/>
      <c r="T45" s="110"/>
      <c r="U45" s="110"/>
      <c r="V45" s="110"/>
      <c r="W45" s="319" t="s">
        <v>2592</v>
      </c>
      <c r="X45" s="110"/>
      <c r="Y45" s="110"/>
      <c r="Z45" s="111" t="s">
        <v>191</v>
      </c>
      <c r="AA45" s="82">
        <f>SUM(AA41:AA44)</f>
        <v>1764.2404166666668</v>
      </c>
      <c r="AL45" s="515" t="s">
        <v>2650</v>
      </c>
      <c r="AM45" s="516">
        <v>500</v>
      </c>
      <c r="AX45" s="259"/>
    </row>
    <row r="46" spans="1:54" ht="15" customHeight="1" x14ac:dyDescent="0.25">
      <c r="C46" s="209" t="s">
        <v>2537</v>
      </c>
      <c r="D46" s="206"/>
      <c r="E46" s="207"/>
      <c r="F46" s="208"/>
      <c r="O46" s="9"/>
      <c r="P46" s="9"/>
      <c r="Q46" s="9"/>
      <c r="S46" s="110"/>
      <c r="T46" s="110"/>
      <c r="U46" s="110"/>
      <c r="V46" s="110"/>
      <c r="W46" s="110"/>
      <c r="X46" s="66" t="str">
        <f>IF(Y46=0,"Exempt",IF(AA8,"Materials Only",""))</f>
        <v>Exempt</v>
      </c>
      <c r="Y46" s="112">
        <f>AA9</f>
        <v>0</v>
      </c>
      <c r="Z46" s="111" t="s">
        <v>189</v>
      </c>
      <c r="AA46" s="210">
        <f>IF(AA8=TRUE,((AA41-Y41)+('Worksheet (2)'!AA41-'Worksheet (2)'!Y41))*Y46,AA41*Y46)</f>
        <v>0</v>
      </c>
      <c r="AL46" s="514"/>
      <c r="AM46" s="513"/>
      <c r="AX46" s="217"/>
    </row>
    <row r="47" spans="1:54" x14ac:dyDescent="0.25">
      <c r="C47" s="92" t="s">
        <v>70</v>
      </c>
      <c r="D47" s="93"/>
      <c r="E47" s="94"/>
      <c r="F47" s="95"/>
      <c r="S47" s="110"/>
      <c r="T47" s="110"/>
      <c r="U47" s="110"/>
      <c r="V47" s="110"/>
      <c r="W47" s="110"/>
      <c r="X47" s="110"/>
      <c r="Y47" s="110"/>
      <c r="Z47" s="113" t="s">
        <v>190</v>
      </c>
      <c r="AA47" s="82">
        <f>SUM(AA45:AA46)</f>
        <v>1764.2404166666668</v>
      </c>
      <c r="AM47" s="513"/>
    </row>
    <row r="57" spans="1:74" x14ac:dyDescent="0.25">
      <c r="C57" s="116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J57" s="5"/>
      <c r="AK57" s="5"/>
      <c r="AL57" s="5"/>
      <c r="AT57" s="5"/>
      <c r="AU57" s="5"/>
      <c r="BD57" s="8"/>
      <c r="BF57" s="5"/>
      <c r="BH57" s="8"/>
      <c r="BJ57" s="5"/>
      <c r="BL57" s="8"/>
      <c r="BN57" s="5"/>
      <c r="BP57" s="8"/>
      <c r="BR57" s="5"/>
      <c r="BT57" s="8"/>
      <c r="BV57" s="5"/>
    </row>
    <row r="58" spans="1:74" x14ac:dyDescent="0.25">
      <c r="A58" s="117"/>
    </row>
  </sheetData>
  <mergeCells count="17">
    <mergeCell ref="J13:M13"/>
    <mergeCell ref="C41:D41"/>
    <mergeCell ref="O42:Q42"/>
    <mergeCell ref="O43:Q43"/>
    <mergeCell ref="O44:Q44"/>
    <mergeCell ref="BB15:BC15"/>
    <mergeCell ref="AL25:AM31"/>
    <mergeCell ref="O45:Q45"/>
    <mergeCell ref="AP2:AU2"/>
    <mergeCell ref="O7:P7"/>
    <mergeCell ref="AK10:AN12"/>
    <mergeCell ref="AX14:AZ14"/>
    <mergeCell ref="AL37:AL38"/>
    <mergeCell ref="P2:Q2"/>
    <mergeCell ref="AL40:AM40"/>
    <mergeCell ref="AD13:AH14"/>
    <mergeCell ref="O3:P3"/>
  </mergeCells>
  <conditionalFormatting sqref="D16:D40">
    <cfRule type="cellIs" dxfId="29" priority="73" stopIfTrue="1" operator="greaterThan">
      <formula>1</formula>
    </cfRule>
  </conditionalFormatting>
  <conditionalFormatting sqref="E16:E40">
    <cfRule type="expression" dxfId="28" priority="1" stopIfTrue="1">
      <formula>$D16&gt;1</formula>
    </cfRule>
  </conditionalFormatting>
  <conditionalFormatting sqref="O7:P7">
    <cfRule type="containsBlanks" dxfId="27" priority="89">
      <formula>LEN(TRIM(O7))=0</formula>
    </cfRule>
  </conditionalFormatting>
  <conditionalFormatting sqref="AM17:AN17 AT18 AM19:AN19 AY19 AT20 AM21:AN21 AY21 AT22 AM23:AN23 AY23 AT24 AY25 AY27 AT29 AY29 AT31 AY31 AT33 AY33 AT35 AY35 AY37 AY39 AR41 AV41 AY41 AY43">
    <cfRule type="cellIs" dxfId="26" priority="90" operator="greaterThan">
      <formula>0</formula>
    </cfRule>
  </conditionalFormatting>
  <conditionalFormatting sqref="AP29 AP31 AP33 AP35">
    <cfRule type="cellIs" dxfId="25" priority="86" operator="greaterThan">
      <formula>0</formula>
    </cfRule>
    <cfRule type="cellIs" dxfId="24" priority="88" operator="greaterThan">
      <formula>0</formula>
    </cfRule>
  </conditionalFormatting>
  <conditionalFormatting sqref="AP41">
    <cfRule type="cellIs" dxfId="23" priority="87" operator="greaterThan">
      <formula>0</formula>
    </cfRule>
  </conditionalFormatting>
  <conditionalFormatting sqref="BC19 BC21 BC23 BC25">
    <cfRule type="cellIs" dxfId="22" priority="85" operator="greaterThan">
      <formula>0</formula>
    </cfRule>
  </conditionalFormatting>
  <dataValidations count="2">
    <dataValidation type="list" allowBlank="1" showInputMessage="1" sqref="Y6:Y9" xr:uid="{E8F599E0-54E1-4D68-A184-3C5C33E79A7E}">
      <formula1>$M$16:$M$40</formula1>
    </dataValidation>
    <dataValidation type="list" allowBlank="1" showInputMessage="1" showErrorMessage="1" sqref="W44" xr:uid="{AC56C245-66B8-45C0-B404-C7D57AC9268A}">
      <formula1>$S$15:$Z$15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>
                <anchor moveWithCells="1">
                  <from>
                    <xdr:col>26</xdr:col>
                    <xdr:colOff>30480</xdr:colOff>
                    <xdr:row>6</xdr:row>
                    <xdr:rowOff>144780</xdr:rowOff>
                  </from>
                  <to>
                    <xdr:col>26</xdr:col>
                    <xdr:colOff>1059180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15</xdr:col>
                    <xdr:colOff>228600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15</xdr:col>
                    <xdr:colOff>152400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6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15</xdr:col>
                    <xdr:colOff>45720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7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15</xdr:col>
                    <xdr:colOff>45720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3D4E2EA-1F69-4E7F-A50B-248D2498764C}">
          <x14:formula1>
            <xm:f>'Data Sheet'!$B$2:$CM$2</xm:f>
          </x14:formula1>
          <xm:sqref>O5</xm:sqref>
        </x14:dataValidation>
        <x14:dataValidation type="list" allowBlank="1" showInputMessage="1" showErrorMessage="1" xr:uid="{2927D4A3-5BBB-418D-A539-8F2A79025564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52A4894A-8E5D-44CC-9A3A-E403E1BFFA71}">
          <x14:formula1>
            <xm:f>'Data Sheet'!$B$37:$B$40</xm:f>
          </x14:formula1>
          <xm:sqref>P16:P40</xm:sqref>
        </x14:dataValidation>
        <x14:dataValidation type="list" allowBlank="1" showInputMessage="1" showErrorMessage="1" xr:uid="{81DC06B6-2E9F-490B-B3C4-6444C89EBC6B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618DE794-A507-4B08-8B1F-72EA213EE911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D35D540B-61B9-4699-A81B-2F9015E03974}">
          <x14:formula1>
            <xm:f>'Data Sheet'!$E$46:$E$47</xm:f>
          </x14:formula1>
          <xm:sqref>J16:J40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5DD-983D-4197-8B41-77BF1E2DED23}">
  <dimension ref="A2:CA303"/>
  <sheetViews>
    <sheetView showGridLines="0" tabSelected="1" view="pageBreakPreview" zoomScale="18" zoomScaleNormal="100" zoomScaleSheetLayoutView="18" zoomScalePageLayoutView="60" workbookViewId="0">
      <selection activeCell="S3" activeCellId="1" sqref="C3:O62 S3:AE27"/>
    </sheetView>
  </sheetViews>
  <sheetFormatPr defaultColWidth="8.88671875" defaultRowHeight="17.399999999999999" x14ac:dyDescent="0.3"/>
  <cols>
    <col min="1" max="1" width="11.44140625" style="352" customWidth="1"/>
    <col min="2" max="2" width="10.109375" style="352" customWidth="1"/>
    <col min="3" max="3" width="20.6640625" style="354" customWidth="1"/>
    <col min="4" max="4" width="24.88671875" style="354" customWidth="1"/>
    <col min="5" max="5" width="3.5546875" style="354" customWidth="1"/>
    <col min="6" max="6" width="14" style="354" customWidth="1"/>
    <col min="7" max="7" width="4.6640625" style="354" customWidth="1"/>
    <col min="8" max="8" width="23.5546875" style="354" customWidth="1"/>
    <col min="9" max="9" width="14.109375" style="354" customWidth="1"/>
    <col min="10" max="10" width="20.6640625" style="354" customWidth="1"/>
    <col min="11" max="11" width="24.6640625" style="354" customWidth="1"/>
    <col min="12" max="12" width="3.5546875" style="354" customWidth="1"/>
    <col min="13" max="13" width="14" style="354" customWidth="1"/>
    <col min="14" max="14" width="4.6640625" style="354" customWidth="1"/>
    <col min="15" max="15" width="23.44140625" style="354" customWidth="1"/>
    <col min="16" max="16" width="8.5546875" style="354" customWidth="1"/>
    <col min="17" max="17" width="11.44140625" style="352" customWidth="1"/>
    <col min="18" max="18" width="10.109375" style="352" customWidth="1"/>
    <col min="19" max="19" width="20.6640625" style="354" customWidth="1"/>
    <col min="20" max="20" width="24.88671875" style="354" customWidth="1"/>
    <col min="21" max="21" width="3.5546875" style="354" customWidth="1"/>
    <col min="22" max="22" width="14" style="354" customWidth="1"/>
    <col min="23" max="23" width="4.6640625" style="354" customWidth="1"/>
    <col min="24" max="24" width="23.5546875" style="354" customWidth="1"/>
    <col min="25" max="25" width="14.109375" style="354" customWidth="1"/>
    <col min="26" max="26" width="20.6640625" style="354" customWidth="1"/>
    <col min="27" max="27" width="24.6640625" style="354" customWidth="1"/>
    <col min="28" max="28" width="3.5546875" style="354" customWidth="1"/>
    <col min="29" max="29" width="14" style="354" customWidth="1"/>
    <col min="30" max="30" width="4.6640625" style="354" customWidth="1"/>
    <col min="31" max="31" width="23.44140625" style="354" customWidth="1"/>
    <col min="32" max="32" width="9.33203125" style="354" customWidth="1"/>
    <col min="33" max="33" width="11.44140625" style="352" customWidth="1"/>
    <col min="34" max="34" width="10.109375" style="352" customWidth="1"/>
    <col min="35" max="35" width="20.6640625" style="354" customWidth="1"/>
    <col min="36" max="36" width="24.88671875" style="354" customWidth="1"/>
    <col min="37" max="37" width="3.5546875" style="354" customWidth="1"/>
    <col min="38" max="38" width="14" style="354" customWidth="1"/>
    <col min="39" max="39" width="4.6640625" style="354" customWidth="1"/>
    <col min="40" max="40" width="23.5546875" style="354" customWidth="1"/>
    <col min="41" max="41" width="14.109375" style="354" customWidth="1"/>
    <col min="42" max="42" width="20.6640625" style="354" customWidth="1"/>
    <col min="43" max="43" width="24.6640625" style="354" customWidth="1"/>
    <col min="44" max="44" width="3.5546875" style="354" customWidth="1"/>
    <col min="45" max="45" width="14" style="354" customWidth="1"/>
    <col min="46" max="46" width="4.6640625" style="354" customWidth="1"/>
    <col min="47" max="47" width="23.44140625" style="354" customWidth="1"/>
    <col min="48" max="48" width="9" style="354" customWidth="1"/>
    <col min="49" max="49" width="11.44140625" style="352" customWidth="1"/>
    <col min="50" max="50" width="10.109375" style="352" customWidth="1"/>
    <col min="51" max="51" width="20.6640625" style="354" customWidth="1"/>
    <col min="52" max="52" width="24.88671875" style="354" customWidth="1"/>
    <col min="53" max="53" width="3.5546875" style="354" customWidth="1"/>
    <col min="54" max="54" width="14" style="354" customWidth="1"/>
    <col min="55" max="55" width="4.6640625" style="354" customWidth="1"/>
    <col min="56" max="56" width="23.5546875" style="354" customWidth="1"/>
    <col min="57" max="57" width="14.109375" style="354" customWidth="1"/>
    <col min="58" max="58" width="20.6640625" style="354" customWidth="1"/>
    <col min="59" max="59" width="24.6640625" style="354" customWidth="1"/>
    <col min="60" max="60" width="3.5546875" style="354" customWidth="1"/>
    <col min="61" max="61" width="14" style="354" customWidth="1"/>
    <col min="62" max="62" width="4.6640625" style="354" customWidth="1"/>
    <col min="63" max="63" width="23.44140625" style="354" customWidth="1"/>
    <col min="64" max="64" width="9.33203125" style="354" customWidth="1"/>
    <col min="65" max="65" width="11.44140625" style="352" customWidth="1"/>
    <col min="66" max="66" width="10.109375" style="352" customWidth="1"/>
    <col min="67" max="67" width="20.6640625" style="354" customWidth="1"/>
    <col min="68" max="68" width="24.88671875" style="354" customWidth="1"/>
    <col min="69" max="69" width="3.5546875" style="354" customWidth="1"/>
    <col min="70" max="70" width="14" style="354" customWidth="1"/>
    <col min="71" max="71" width="4.6640625" style="354" customWidth="1"/>
    <col min="72" max="72" width="23.5546875" style="354" customWidth="1"/>
    <col min="73" max="73" width="14.109375" style="354" customWidth="1"/>
    <col min="74" max="74" width="20.6640625" style="354" customWidth="1"/>
    <col min="75" max="75" width="24.6640625" style="354" customWidth="1"/>
    <col min="76" max="76" width="3.5546875" style="354" customWidth="1"/>
    <col min="77" max="77" width="14" style="354" customWidth="1"/>
    <col min="78" max="78" width="4.6640625" style="354" customWidth="1"/>
    <col min="79" max="79" width="23.44140625" style="354" customWidth="1"/>
    <col min="80" max="16384" width="8.88671875" style="354"/>
  </cols>
  <sheetData>
    <row r="2" spans="1:79" ht="29.25" customHeight="1" x14ac:dyDescent="0.4">
      <c r="C2" s="353" t="s">
        <v>83</v>
      </c>
      <c r="I2" s="355"/>
      <c r="J2" s="356"/>
      <c r="K2" s="356"/>
      <c r="L2" s="356"/>
      <c r="M2" s="356"/>
      <c r="S2" s="353" t="s">
        <v>83</v>
      </c>
      <c r="Y2" s="355"/>
      <c r="Z2" s="356"/>
      <c r="AA2" s="356"/>
      <c r="AB2" s="356"/>
      <c r="AC2" s="356"/>
      <c r="AI2" s="353" t="s">
        <v>83</v>
      </c>
      <c r="AO2" s="355"/>
      <c r="AP2" s="356"/>
      <c r="AQ2" s="356"/>
      <c r="AR2" s="356"/>
      <c r="AS2" s="356"/>
      <c r="AY2" s="353" t="s">
        <v>83</v>
      </c>
      <c r="BE2" s="355"/>
      <c r="BF2" s="356"/>
      <c r="BG2" s="356"/>
      <c r="BH2" s="356"/>
      <c r="BI2" s="356"/>
      <c r="BO2" s="353" t="s">
        <v>83</v>
      </c>
      <c r="BU2" s="355"/>
      <c r="BV2" s="356"/>
      <c r="BW2" s="356"/>
      <c r="BX2" s="356"/>
      <c r="BY2" s="356"/>
    </row>
    <row r="3" spans="1:79" ht="30.75" customHeight="1" thickBot="1" x14ac:dyDescent="0.45">
      <c r="C3" s="357"/>
      <c r="H3" s="358"/>
      <c r="S3" s="357"/>
      <c r="X3" s="358"/>
      <c r="AI3" s="357"/>
      <c r="AN3" s="358"/>
      <c r="AY3" s="357"/>
      <c r="BD3" s="358"/>
      <c r="BO3" s="357"/>
      <c r="BT3" s="358"/>
    </row>
    <row r="4" spans="1:79" ht="21" customHeight="1" thickBot="1" x14ac:dyDescent="0.7">
      <c r="A4" s="352" t="s">
        <v>2479</v>
      </c>
      <c r="B4" s="352" t="s">
        <v>2478</v>
      </c>
      <c r="C4" s="359" t="s">
        <v>21</v>
      </c>
      <c r="D4" s="564">
        <f>+jobnumber</f>
        <v>33303</v>
      </c>
      <c r="E4" s="565"/>
      <c r="F4" s="565"/>
      <c r="G4" s="566"/>
      <c r="H4" s="567" t="str">
        <f>+Worksheet!$B16</f>
        <v>P1-RS1</v>
      </c>
      <c r="J4" s="359" t="s">
        <v>21</v>
      </c>
      <c r="K4" s="360">
        <f>+jobnumber</f>
        <v>33303</v>
      </c>
      <c r="L4" s="361"/>
      <c r="M4" s="361"/>
      <c r="N4" s="361"/>
      <c r="O4" s="567" t="str">
        <f>+H4</f>
        <v>P1-RS1</v>
      </c>
      <c r="P4" s="362"/>
      <c r="Q4" s="352" t="s">
        <v>53</v>
      </c>
      <c r="R4" s="352" t="s">
        <v>2486</v>
      </c>
      <c r="S4" s="359" t="s">
        <v>21</v>
      </c>
      <c r="T4" s="564">
        <f>+jobnumber</f>
        <v>33303</v>
      </c>
      <c r="U4" s="565"/>
      <c r="V4" s="565"/>
      <c r="W4" s="566"/>
      <c r="X4" s="567" t="str">
        <f>+Worksheet!$B21</f>
        <v>P1-RS6</v>
      </c>
      <c r="Z4" s="359" t="s">
        <v>21</v>
      </c>
      <c r="AA4" s="360">
        <f>+jobnumber</f>
        <v>33303</v>
      </c>
      <c r="AB4" s="361"/>
      <c r="AC4" s="361"/>
      <c r="AD4" s="361"/>
      <c r="AE4" s="567" t="str">
        <f>+X4</f>
        <v>P1-RS6</v>
      </c>
      <c r="AF4" s="362"/>
      <c r="AG4" s="352" t="s">
        <v>59</v>
      </c>
      <c r="AH4" s="352" t="s">
        <v>2491</v>
      </c>
      <c r="AI4" s="359" t="s">
        <v>21</v>
      </c>
      <c r="AJ4" s="564">
        <f>+jobnumber</f>
        <v>33303</v>
      </c>
      <c r="AK4" s="565"/>
      <c r="AL4" s="565"/>
      <c r="AM4" s="566"/>
      <c r="AN4" s="567" t="str">
        <f>+Worksheet!$B26</f>
        <v>P1-RS11</v>
      </c>
      <c r="AP4" s="359" t="s">
        <v>21</v>
      </c>
      <c r="AQ4" s="360">
        <f>+jobnumber</f>
        <v>33303</v>
      </c>
      <c r="AR4" s="361"/>
      <c r="AS4" s="361"/>
      <c r="AT4" s="361"/>
      <c r="AU4" s="567" t="str">
        <f>+AN4</f>
        <v>P1-RS11</v>
      </c>
      <c r="AV4" s="362"/>
      <c r="AW4" s="352" t="s">
        <v>64</v>
      </c>
      <c r="AX4" s="352" t="s">
        <v>2496</v>
      </c>
      <c r="AY4" s="359" t="s">
        <v>21</v>
      </c>
      <c r="AZ4" s="564">
        <f>+jobnumber</f>
        <v>33303</v>
      </c>
      <c r="BA4" s="565"/>
      <c r="BB4" s="565"/>
      <c r="BC4" s="566"/>
      <c r="BD4" s="567" t="str">
        <f>+Worksheet!$B31</f>
        <v>P1-RS16</v>
      </c>
      <c r="BF4" s="359" t="s">
        <v>21</v>
      </c>
      <c r="BG4" s="360">
        <f>+jobnumber</f>
        <v>33303</v>
      </c>
      <c r="BH4" s="361"/>
      <c r="BI4" s="361"/>
      <c r="BJ4" s="361"/>
      <c r="BK4" s="567" t="str">
        <f>+BD4</f>
        <v>P1-RS16</v>
      </c>
      <c r="BL4" s="362"/>
      <c r="BM4" s="352" t="s">
        <v>177</v>
      </c>
      <c r="BN4" s="352" t="s">
        <v>2501</v>
      </c>
      <c r="BO4" s="359" t="s">
        <v>21</v>
      </c>
      <c r="BP4" s="564">
        <f>+jobnumber</f>
        <v>33303</v>
      </c>
      <c r="BQ4" s="565"/>
      <c r="BR4" s="565"/>
      <c r="BS4" s="566"/>
      <c r="BT4" s="567" t="str">
        <f>+Worksheet!$B36</f>
        <v>P1-RS21</v>
      </c>
      <c r="BV4" s="359" t="s">
        <v>21</v>
      </c>
      <c r="BW4" s="360">
        <f>+jobnumber</f>
        <v>33303</v>
      </c>
      <c r="BX4" s="361"/>
      <c r="BY4" s="361"/>
      <c r="BZ4" s="361"/>
      <c r="CA4" s="567" t="str">
        <f>+BT4</f>
        <v>P1-RS21</v>
      </c>
    </row>
    <row r="5" spans="1:79" s="364" customFormat="1" ht="21" customHeight="1" thickBot="1" x14ac:dyDescent="0.7">
      <c r="A5" s="352"/>
      <c r="B5" s="352"/>
      <c r="C5" s="363" t="s">
        <v>2626</v>
      </c>
      <c r="D5" s="569" t="str">
        <f>+_xlfn.SINGLE(bill_name)</f>
        <v>JLL</v>
      </c>
      <c r="E5" s="570"/>
      <c r="F5" s="570"/>
      <c r="G5" s="571"/>
      <c r="H5" s="568"/>
      <c r="J5" s="365" t="s">
        <v>22</v>
      </c>
      <c r="K5" s="366" t="str">
        <f>+_xlfn.SINGLE(bill_name)</f>
        <v>JLL</v>
      </c>
      <c r="L5" s="367"/>
      <c r="M5" s="367"/>
      <c r="N5" s="367"/>
      <c r="O5" s="568"/>
      <c r="P5" s="362"/>
      <c r="Q5" s="352"/>
      <c r="R5" s="352"/>
      <c r="S5" s="363" t="s">
        <v>2626</v>
      </c>
      <c r="T5" s="569" t="str">
        <f>+_xlfn.SINGLE(bill_name)</f>
        <v>JLL</v>
      </c>
      <c r="U5" s="570"/>
      <c r="V5" s="570"/>
      <c r="W5" s="571"/>
      <c r="X5" s="568"/>
      <c r="Z5" s="365" t="s">
        <v>22</v>
      </c>
      <c r="AA5" s="366" t="str">
        <f>+_xlfn.SINGLE(bill_name)</f>
        <v>JLL</v>
      </c>
      <c r="AB5" s="367"/>
      <c r="AC5" s="367"/>
      <c r="AD5" s="367"/>
      <c r="AE5" s="568"/>
      <c r="AF5" s="362"/>
      <c r="AG5" s="352"/>
      <c r="AH5" s="352"/>
      <c r="AI5" s="363" t="s">
        <v>2626</v>
      </c>
      <c r="AJ5" s="569" t="str">
        <f>+_xlfn.SINGLE(bill_name)</f>
        <v>JLL</v>
      </c>
      <c r="AK5" s="570"/>
      <c r="AL5" s="570"/>
      <c r="AM5" s="571"/>
      <c r="AN5" s="568"/>
      <c r="AP5" s="365" t="s">
        <v>22</v>
      </c>
      <c r="AQ5" s="366" t="str">
        <f>+_xlfn.SINGLE(bill_name)</f>
        <v>JLL</v>
      </c>
      <c r="AR5" s="367"/>
      <c r="AS5" s="367"/>
      <c r="AT5" s="367"/>
      <c r="AU5" s="568"/>
      <c r="AV5" s="362"/>
      <c r="AW5" s="352"/>
      <c r="AX5" s="352"/>
      <c r="AY5" s="363" t="s">
        <v>2626</v>
      </c>
      <c r="AZ5" s="569" t="str">
        <f>+_xlfn.SINGLE(bill_name)</f>
        <v>JLL</v>
      </c>
      <c r="BA5" s="570"/>
      <c r="BB5" s="570"/>
      <c r="BC5" s="571"/>
      <c r="BD5" s="568"/>
      <c r="BF5" s="365" t="s">
        <v>22</v>
      </c>
      <c r="BG5" s="366" t="str">
        <f>+_xlfn.SINGLE(bill_name)</f>
        <v>JLL</v>
      </c>
      <c r="BH5" s="367"/>
      <c r="BI5" s="367"/>
      <c r="BJ5" s="367"/>
      <c r="BK5" s="568"/>
      <c r="BL5" s="362"/>
      <c r="BM5" s="352"/>
      <c r="BN5" s="352"/>
      <c r="BO5" s="363" t="s">
        <v>2626</v>
      </c>
      <c r="BP5" s="569" t="str">
        <f>+_xlfn.SINGLE(bill_name)</f>
        <v>JLL</v>
      </c>
      <c r="BQ5" s="570"/>
      <c r="BR5" s="570"/>
      <c r="BS5" s="571"/>
      <c r="BT5" s="568"/>
      <c r="BV5" s="365" t="s">
        <v>22</v>
      </c>
      <c r="BW5" s="366" t="str">
        <f>+_xlfn.SINGLE(bill_name)</f>
        <v>JLL</v>
      </c>
      <c r="BX5" s="367"/>
      <c r="BY5" s="367"/>
      <c r="BZ5" s="367"/>
      <c r="CA5" s="568"/>
    </row>
    <row r="6" spans="1:79" s="364" customFormat="1" ht="21" customHeight="1" x14ac:dyDescent="0.4">
      <c r="A6" s="352"/>
      <c r="B6" s="352"/>
      <c r="C6" s="368" t="s">
        <v>2627</v>
      </c>
      <c r="D6" s="572" t="str">
        <f>+jobname</f>
        <v>Cottonwood Creek WO#I5187109-00104</v>
      </c>
      <c r="E6" s="573"/>
      <c r="F6" s="573"/>
      <c r="G6" s="573"/>
      <c r="H6" s="574"/>
      <c r="J6" s="369" t="s">
        <v>78</v>
      </c>
      <c r="K6" s="577" t="str">
        <f>+jobname</f>
        <v>Cottonwood Creek WO#I5187109-00104</v>
      </c>
      <c r="L6" s="578"/>
      <c r="M6" s="578"/>
      <c r="N6" s="578"/>
      <c r="O6" s="579"/>
      <c r="P6" s="373"/>
      <c r="Q6" s="352"/>
      <c r="R6" s="352"/>
      <c r="S6" s="368" t="s">
        <v>2627</v>
      </c>
      <c r="T6" s="572" t="str">
        <f>+jobname</f>
        <v>Cottonwood Creek WO#I5187109-00104</v>
      </c>
      <c r="U6" s="573"/>
      <c r="V6" s="573"/>
      <c r="W6" s="573"/>
      <c r="X6" s="574"/>
      <c r="Z6" s="369" t="s">
        <v>78</v>
      </c>
      <c r="AA6" s="370" t="str">
        <f>+jobname</f>
        <v>Cottonwood Creek WO#I5187109-00104</v>
      </c>
      <c r="AB6" s="371"/>
      <c r="AC6" s="371"/>
      <c r="AD6" s="371"/>
      <c r="AE6" s="372"/>
      <c r="AF6" s="373"/>
      <c r="AG6" s="352" t="s">
        <v>81</v>
      </c>
      <c r="AH6" s="352"/>
      <c r="AI6" s="368" t="s">
        <v>2627</v>
      </c>
      <c r="AJ6" s="572" t="str">
        <f>+jobname</f>
        <v>Cottonwood Creek WO#I5187109-00104</v>
      </c>
      <c r="AK6" s="573"/>
      <c r="AL6" s="573"/>
      <c r="AM6" s="573"/>
      <c r="AN6" s="574"/>
      <c r="AP6" s="369" t="s">
        <v>78</v>
      </c>
      <c r="AQ6" s="370" t="str">
        <f>+jobname</f>
        <v>Cottonwood Creek WO#I5187109-00104</v>
      </c>
      <c r="AR6" s="371"/>
      <c r="AS6" s="371"/>
      <c r="AT6" s="371"/>
      <c r="AU6" s="372"/>
      <c r="AV6" s="373"/>
      <c r="AW6" s="352"/>
      <c r="AX6" s="352"/>
      <c r="AY6" s="368" t="s">
        <v>2627</v>
      </c>
      <c r="AZ6" s="572" t="str">
        <f>+jobname</f>
        <v>Cottonwood Creek WO#I5187109-00104</v>
      </c>
      <c r="BA6" s="573"/>
      <c r="BB6" s="573"/>
      <c r="BC6" s="573"/>
      <c r="BD6" s="574"/>
      <c r="BF6" s="369" t="s">
        <v>78</v>
      </c>
      <c r="BG6" s="370" t="str">
        <f>+jobname</f>
        <v>Cottonwood Creek WO#I5187109-00104</v>
      </c>
      <c r="BH6" s="371"/>
      <c r="BI6" s="371"/>
      <c r="BJ6" s="371"/>
      <c r="BK6" s="372"/>
      <c r="BL6" s="373"/>
      <c r="BM6" s="352"/>
      <c r="BN6" s="352"/>
      <c r="BO6" s="368" t="s">
        <v>2627</v>
      </c>
      <c r="BP6" s="572" t="str">
        <f>+jobname</f>
        <v>Cottonwood Creek WO#I5187109-00104</v>
      </c>
      <c r="BQ6" s="573"/>
      <c r="BR6" s="573"/>
      <c r="BS6" s="573"/>
      <c r="BT6" s="574"/>
      <c r="BV6" s="369" t="s">
        <v>78</v>
      </c>
      <c r="BW6" s="370" t="str">
        <f>+jobname</f>
        <v>Cottonwood Creek WO#I5187109-00104</v>
      </c>
      <c r="BX6" s="371"/>
      <c r="BY6" s="371"/>
      <c r="BZ6" s="371"/>
      <c r="CA6" s="372"/>
    </row>
    <row r="7" spans="1:79" s="364" customFormat="1" ht="21" customHeight="1" x14ac:dyDescent="0.35">
      <c r="A7" s="352"/>
      <c r="B7" s="352"/>
      <c r="C7" s="374" t="s">
        <v>23</v>
      </c>
      <c r="D7" s="575" t="str">
        <f>+Worksheet!$C16</f>
        <v>Chapel east</v>
      </c>
      <c r="E7" s="576"/>
      <c r="F7" s="576"/>
      <c r="G7" s="371"/>
      <c r="H7" s="375" t="str">
        <f>+IF(Worksheet!$O$9=1,"Install",IF(Worksheet!$O$9=2,"Deliver",IF(Worksheet!$O$9=3,"Will Call",0)))</f>
        <v>Install</v>
      </c>
      <c r="J7" s="374" t="s">
        <v>23</v>
      </c>
      <c r="K7" s="373" t="str">
        <f>D7</f>
        <v>Chapel east</v>
      </c>
      <c r="L7" s="371"/>
      <c r="M7" s="371"/>
      <c r="N7" s="371"/>
      <c r="O7" s="376" t="str">
        <f>H7</f>
        <v>Install</v>
      </c>
      <c r="P7" s="373"/>
      <c r="Q7" s="352"/>
      <c r="R7" s="352"/>
      <c r="S7" s="374" t="s">
        <v>23</v>
      </c>
      <c r="T7" s="575" t="str">
        <f>+Worksheet!$C21</f>
        <v>Room 104</v>
      </c>
      <c r="U7" s="576"/>
      <c r="V7" s="576"/>
      <c r="W7" s="371"/>
      <c r="X7" s="375" t="str">
        <f>+IF(Worksheet!$O$9=1,"Install",IF(Worksheet!$O$9=2,"Deliver",IF(Worksheet!$O$9=3,"Will Call",0)))</f>
        <v>Install</v>
      </c>
      <c r="Z7" s="374" t="s">
        <v>23</v>
      </c>
      <c r="AA7" s="373" t="str">
        <f>T7</f>
        <v>Room 104</v>
      </c>
      <c r="AB7" s="371"/>
      <c r="AC7" s="371"/>
      <c r="AD7" s="371"/>
      <c r="AE7" s="376" t="str">
        <f>X7</f>
        <v>Install</v>
      </c>
      <c r="AF7" s="373"/>
      <c r="AG7" s="352"/>
      <c r="AH7" s="352"/>
      <c r="AI7" s="374" t="s">
        <v>23</v>
      </c>
      <c r="AJ7" s="575">
        <f>+Worksheet!$C26</f>
        <v>0</v>
      </c>
      <c r="AK7" s="576"/>
      <c r="AL7" s="576"/>
      <c r="AM7" s="371"/>
      <c r="AN7" s="375" t="str">
        <f>+IF(Worksheet!$O$9=1,"Install",IF(Worksheet!$O$9=2,"Deliver",IF(Worksheet!$O$9=3,"Will Call",0)))</f>
        <v>Install</v>
      </c>
      <c r="AP7" s="374" t="s">
        <v>23</v>
      </c>
      <c r="AQ7" s="373">
        <f>AJ7</f>
        <v>0</v>
      </c>
      <c r="AR7" s="371"/>
      <c r="AS7" s="371"/>
      <c r="AT7" s="371"/>
      <c r="AU7" s="376" t="str">
        <f>AN7</f>
        <v>Install</v>
      </c>
      <c r="AV7" s="373"/>
      <c r="AW7" s="352"/>
      <c r="AX7" s="352"/>
      <c r="AY7" s="374" t="s">
        <v>23</v>
      </c>
      <c r="AZ7" s="575">
        <f>+Worksheet!$C31</f>
        <v>0</v>
      </c>
      <c r="BA7" s="576"/>
      <c r="BB7" s="576"/>
      <c r="BC7" s="371"/>
      <c r="BD7" s="375" t="str">
        <f>+IF(Worksheet!$O$9=1,"Install",IF(Worksheet!$O$9=2,"Deliver",IF(Worksheet!$O$9=3,"Will Call",0)))</f>
        <v>Install</v>
      </c>
      <c r="BF7" s="374" t="s">
        <v>23</v>
      </c>
      <c r="BG7" s="373">
        <f>AZ7</f>
        <v>0</v>
      </c>
      <c r="BH7" s="371"/>
      <c r="BI7" s="371"/>
      <c r="BJ7" s="371"/>
      <c r="BK7" s="376" t="str">
        <f>BD7</f>
        <v>Install</v>
      </c>
      <c r="BL7" s="373"/>
      <c r="BM7" s="352"/>
      <c r="BN7" s="352"/>
      <c r="BO7" s="374" t="s">
        <v>23</v>
      </c>
      <c r="BP7" s="575">
        <f>+Worksheet!$C36</f>
        <v>0</v>
      </c>
      <c r="BQ7" s="576"/>
      <c r="BR7" s="576"/>
      <c r="BS7" s="371"/>
      <c r="BT7" s="375" t="str">
        <f>+IF(Worksheet!$O$9=1,"Install",IF(Worksheet!$O$9=2,"Deliver",IF(Worksheet!$O$9=3,"Will Call",0)))</f>
        <v>Install</v>
      </c>
      <c r="BV7" s="374" t="s">
        <v>23</v>
      </c>
      <c r="BW7" s="373">
        <f>BP7</f>
        <v>0</v>
      </c>
      <c r="BX7" s="371"/>
      <c r="BY7" s="371"/>
      <c r="BZ7" s="371"/>
      <c r="CA7" s="376" t="str">
        <f>BT7</f>
        <v>Install</v>
      </c>
    </row>
    <row r="8" spans="1:79" s="364" customFormat="1" ht="21" customHeight="1" x14ac:dyDescent="0.35">
      <c r="A8" s="352"/>
      <c r="B8" s="352"/>
      <c r="C8" s="377" t="str">
        <f>+IF(Worksheet!$D16&gt;0,Worksheet!$E16,0)</f>
        <v>Tube 2.375</v>
      </c>
      <c r="D8" s="378">
        <f>+Worksheet!$F16</f>
        <v>45</v>
      </c>
      <c r="E8" s="379" t="s">
        <v>4</v>
      </c>
      <c r="F8" s="378">
        <f>+Worksheet!$H16</f>
        <v>135</v>
      </c>
      <c r="G8" s="380"/>
      <c r="H8" s="381" t="str">
        <f>+Worksheet!$I16</f>
        <v>IB</v>
      </c>
      <c r="J8" s="377"/>
      <c r="N8" s="380"/>
      <c r="O8" s="381" t="str">
        <f>H8</f>
        <v>IB</v>
      </c>
      <c r="P8" s="382"/>
      <c r="Q8" s="352" t="s">
        <v>81</v>
      </c>
      <c r="R8" s="352"/>
      <c r="S8" s="377" t="str">
        <f>+IF(Worksheet!$D21&gt;0,Worksheet!$E21,0)</f>
        <v>Tube 1.5</v>
      </c>
      <c r="T8" s="378">
        <f>+Worksheet!$F21</f>
        <v>36</v>
      </c>
      <c r="U8" s="379" t="s">
        <v>4</v>
      </c>
      <c r="V8" s="378">
        <f>+Worksheet!$H21</f>
        <v>64</v>
      </c>
      <c r="W8" s="380"/>
      <c r="X8" s="381" t="str">
        <f>+Worksheet!$I21</f>
        <v>IB</v>
      </c>
      <c r="Z8" s="377"/>
      <c r="AD8" s="380"/>
      <c r="AE8" s="381" t="str">
        <f>X8</f>
        <v>IB</v>
      </c>
      <c r="AF8" s="382"/>
      <c r="AG8" s="352"/>
      <c r="AH8" s="352"/>
      <c r="AI8" s="377">
        <f>+IF(Worksheet!$D26&gt;0,Worksheet!$E26,0)</f>
        <v>0</v>
      </c>
      <c r="AJ8" s="378">
        <f>+Worksheet!$F26</f>
        <v>0</v>
      </c>
      <c r="AK8" s="379" t="s">
        <v>4</v>
      </c>
      <c r="AL8" s="378">
        <f>+Worksheet!$H26</f>
        <v>0</v>
      </c>
      <c r="AM8" s="380"/>
      <c r="AN8" s="381">
        <f>+Worksheet!$I26</f>
        <v>0</v>
      </c>
      <c r="AP8" s="377"/>
      <c r="AT8" s="380"/>
      <c r="AU8" s="381">
        <f>AN8</f>
        <v>0</v>
      </c>
      <c r="AV8" s="382"/>
      <c r="AW8" s="352"/>
      <c r="AX8" s="352"/>
      <c r="AY8" s="377">
        <f>+IF(Worksheet!$D31&gt;0,Worksheet!$E31,0)</f>
        <v>0</v>
      </c>
      <c r="AZ8" s="378">
        <f>+Worksheet!$F31</f>
        <v>0</v>
      </c>
      <c r="BA8" s="379" t="s">
        <v>4</v>
      </c>
      <c r="BB8" s="378">
        <f>+Worksheet!$H31</f>
        <v>0</v>
      </c>
      <c r="BC8" s="380"/>
      <c r="BD8" s="381">
        <f>+Worksheet!$I31</f>
        <v>0</v>
      </c>
      <c r="BF8" s="377"/>
      <c r="BJ8" s="380"/>
      <c r="BK8" s="381">
        <f>BD8</f>
        <v>0</v>
      </c>
      <c r="BL8" s="382"/>
      <c r="BM8" s="352"/>
      <c r="BN8" s="352"/>
      <c r="BO8" s="377">
        <f>+IF(Worksheet!$D36&gt;0,Worksheet!$E36,0)</f>
        <v>0</v>
      </c>
      <c r="BP8" s="378">
        <f>+Worksheet!$F36</f>
        <v>0</v>
      </c>
      <c r="BQ8" s="379" t="s">
        <v>4</v>
      </c>
      <c r="BR8" s="378">
        <f>+Worksheet!$H36</f>
        <v>0</v>
      </c>
      <c r="BS8" s="380"/>
      <c r="BT8" s="381">
        <f>+Worksheet!$I36</f>
        <v>0</v>
      </c>
      <c r="BV8" s="377"/>
      <c r="BZ8" s="380"/>
      <c r="CA8" s="381">
        <f>BT8</f>
        <v>0</v>
      </c>
    </row>
    <row r="9" spans="1:79" ht="21" customHeight="1" x14ac:dyDescent="0.35">
      <c r="C9" s="383" t="s">
        <v>19</v>
      </c>
      <c r="D9" s="592" t="str">
        <f>+Worksheet!$M16</f>
        <v>Panta Flex Linen</v>
      </c>
      <c r="E9" s="593"/>
      <c r="F9" s="593"/>
      <c r="G9" s="384"/>
      <c r="H9" s="385"/>
      <c r="J9" s="374" t="s">
        <v>2594</v>
      </c>
      <c r="K9" s="378">
        <f>D8</f>
        <v>45</v>
      </c>
      <c r="L9" s="378" t="str">
        <f>+E8</f>
        <v>X</v>
      </c>
      <c r="M9" s="378">
        <f>F8</f>
        <v>135</v>
      </c>
      <c r="N9" s="384"/>
      <c r="O9" s="385"/>
      <c r="P9" s="384"/>
      <c r="S9" s="383" t="s">
        <v>19</v>
      </c>
      <c r="T9" s="592" t="str">
        <f>+Worksheet!$M21</f>
        <v>Panta Flex Linen</v>
      </c>
      <c r="U9" s="593"/>
      <c r="V9" s="593"/>
      <c r="W9" s="384"/>
      <c r="X9" s="385"/>
      <c r="Z9" s="374" t="s">
        <v>2594</v>
      </c>
      <c r="AA9" s="378">
        <f>T8</f>
        <v>36</v>
      </c>
      <c r="AB9" s="378" t="str">
        <f>+U8</f>
        <v>X</v>
      </c>
      <c r="AC9" s="378">
        <f>V8</f>
        <v>64</v>
      </c>
      <c r="AD9" s="384"/>
      <c r="AE9" s="385"/>
      <c r="AF9" s="384"/>
      <c r="AI9" s="383" t="s">
        <v>19</v>
      </c>
      <c r="AJ9" s="592">
        <f>+Worksheet!$M26</f>
        <v>0</v>
      </c>
      <c r="AK9" s="593"/>
      <c r="AL9" s="593"/>
      <c r="AM9" s="384"/>
      <c r="AN9" s="385"/>
      <c r="AP9" s="374" t="s">
        <v>2594</v>
      </c>
      <c r="AQ9" s="378">
        <f>AJ8</f>
        <v>0</v>
      </c>
      <c r="AR9" s="378" t="str">
        <f>+AK8</f>
        <v>X</v>
      </c>
      <c r="AS9" s="378">
        <f>AL8</f>
        <v>0</v>
      </c>
      <c r="AT9" s="384"/>
      <c r="AU9" s="385"/>
      <c r="AV9" s="384"/>
      <c r="AY9" s="383" t="s">
        <v>19</v>
      </c>
      <c r="AZ9" s="592">
        <f>+Worksheet!$M31</f>
        <v>0</v>
      </c>
      <c r="BA9" s="593"/>
      <c r="BB9" s="593"/>
      <c r="BC9" s="384"/>
      <c r="BD9" s="385"/>
      <c r="BF9" s="374" t="s">
        <v>2594</v>
      </c>
      <c r="BG9" s="378">
        <f>AZ8</f>
        <v>0</v>
      </c>
      <c r="BH9" s="378" t="str">
        <f>+BA8</f>
        <v>X</v>
      </c>
      <c r="BI9" s="378">
        <f>BB8</f>
        <v>0</v>
      </c>
      <c r="BJ9" s="384"/>
      <c r="BK9" s="385"/>
      <c r="BL9" s="384"/>
      <c r="BO9" s="383" t="s">
        <v>19</v>
      </c>
      <c r="BP9" s="592">
        <f>+Worksheet!$M36</f>
        <v>0</v>
      </c>
      <c r="BQ9" s="593"/>
      <c r="BR9" s="593"/>
      <c r="BS9" s="384"/>
      <c r="BT9" s="385"/>
      <c r="BV9" s="374" t="s">
        <v>2594</v>
      </c>
      <c r="BW9" s="378">
        <f>BP8</f>
        <v>0</v>
      </c>
      <c r="BX9" s="378" t="str">
        <f>+BQ8</f>
        <v>X</v>
      </c>
      <c r="BY9" s="378">
        <f>BR8</f>
        <v>0</v>
      </c>
      <c r="BZ9" s="384"/>
      <c r="CA9" s="385"/>
    </row>
    <row r="10" spans="1:79" ht="21" customHeight="1" x14ac:dyDescent="0.35">
      <c r="C10" s="386" t="s">
        <v>24</v>
      </c>
      <c r="D10" s="387" t="str">
        <f>+IF(Worksheet!$O16="V","fabric verticle",IF(Worksheet!$O16="RR","fabric Railroad",0))</f>
        <v>fabric verticle</v>
      </c>
      <c r="E10" s="594" t="s">
        <v>25</v>
      </c>
      <c r="F10" s="595"/>
      <c r="G10" s="596"/>
      <c r="H10" s="388" t="str">
        <f>+IF(Worksheet!$J16&gt;0,Worksheet!$J16,"NO")</f>
        <v>NO</v>
      </c>
      <c r="J10" s="377"/>
      <c r="K10" s="389"/>
      <c r="L10" s="580" t="s">
        <v>2593</v>
      </c>
      <c r="M10" s="581"/>
      <c r="N10" s="581"/>
      <c r="O10" s="582"/>
      <c r="P10" s="420"/>
      <c r="S10" s="386" t="s">
        <v>24</v>
      </c>
      <c r="T10" s="387" t="str">
        <f>+IF(Worksheet!$O21="V","fabric verticle",IF(Worksheet!$O21="RR","fabric Railroad",0))</f>
        <v>fabric verticle</v>
      </c>
      <c r="U10" s="594" t="s">
        <v>25</v>
      </c>
      <c r="V10" s="595"/>
      <c r="W10" s="596"/>
      <c r="X10" s="388" t="str">
        <f>+IF(Worksheet!$J21&gt;0,Worksheet!$J21,"NO")</f>
        <v>NO</v>
      </c>
      <c r="Z10" s="377"/>
      <c r="AA10" s="389"/>
      <c r="AB10" s="580" t="s">
        <v>2593</v>
      </c>
      <c r="AC10" s="581"/>
      <c r="AD10" s="581"/>
      <c r="AE10" s="582"/>
      <c r="AF10" s="420"/>
      <c r="AI10" s="386" t="s">
        <v>24</v>
      </c>
      <c r="AJ10" s="387">
        <f>+IF(Worksheet!$O26="V","fabric verticle",IF(Worksheet!$O26="RR","fabric Railroad",0))</f>
        <v>0</v>
      </c>
      <c r="AK10" s="594" t="s">
        <v>25</v>
      </c>
      <c r="AL10" s="595"/>
      <c r="AM10" s="596"/>
      <c r="AN10" s="388" t="str">
        <f>+IF(Worksheet!$J26&gt;0,Worksheet!$J26,"NO")</f>
        <v>NO</v>
      </c>
      <c r="AP10" s="377"/>
      <c r="AQ10" s="389"/>
      <c r="AR10" s="580" t="s">
        <v>2593</v>
      </c>
      <c r="AS10" s="581"/>
      <c r="AT10" s="581"/>
      <c r="AU10" s="582"/>
      <c r="AV10" s="420"/>
      <c r="AY10" s="386" t="s">
        <v>24</v>
      </c>
      <c r="AZ10" s="387">
        <f>+IF(Worksheet!$O31="V","fabric verticle",IF(Worksheet!$O31="RR","fabric Railroad",0))</f>
        <v>0</v>
      </c>
      <c r="BA10" s="594" t="s">
        <v>25</v>
      </c>
      <c r="BB10" s="595"/>
      <c r="BC10" s="596"/>
      <c r="BD10" s="388" t="str">
        <f>+IF(Worksheet!$J31&gt;0,Worksheet!$J31,"NO")</f>
        <v>NO</v>
      </c>
      <c r="BF10" s="377"/>
      <c r="BG10" s="389"/>
      <c r="BH10" s="580" t="s">
        <v>2593</v>
      </c>
      <c r="BI10" s="581"/>
      <c r="BJ10" s="581"/>
      <c r="BK10" s="582"/>
      <c r="BL10" s="420"/>
      <c r="BO10" s="386" t="s">
        <v>24</v>
      </c>
      <c r="BP10" s="387">
        <f>+IF(Worksheet!$O36="V","fabric verticle",IF(Worksheet!$O36="RR","fabric Railroad",0))</f>
        <v>0</v>
      </c>
      <c r="BQ10" s="594" t="s">
        <v>25</v>
      </c>
      <c r="BR10" s="595"/>
      <c r="BS10" s="596"/>
      <c r="BT10" s="388" t="str">
        <f>+IF(Worksheet!$J36&gt;0,Worksheet!$J36,"NO")</f>
        <v>NO</v>
      </c>
      <c r="BV10" s="377"/>
      <c r="BW10" s="389"/>
      <c r="BX10" s="580" t="s">
        <v>2593</v>
      </c>
      <c r="BY10" s="581"/>
      <c r="BZ10" s="581"/>
      <c r="CA10" s="582"/>
    </row>
    <row r="11" spans="1:79" s="391" customFormat="1" ht="21" customHeight="1" x14ac:dyDescent="0.3">
      <c r="A11" s="352"/>
      <c r="B11" s="352"/>
      <c r="C11" s="585" t="str">
        <f>+Worksheet!$N16</f>
        <v>REVERSE ROLL</v>
      </c>
      <c r="D11" s="586"/>
      <c r="E11" s="587" t="s">
        <v>26</v>
      </c>
      <c r="F11" s="588"/>
      <c r="G11" s="589"/>
      <c r="H11" s="390" t="str">
        <f>+Worksheet!$L16</f>
        <v>Seamed</v>
      </c>
      <c r="J11" s="590"/>
      <c r="K11" s="591"/>
      <c r="L11" s="581"/>
      <c r="M11" s="581"/>
      <c r="N11" s="581"/>
      <c r="O11" s="582"/>
      <c r="P11" s="420"/>
      <c r="Q11" s="352"/>
      <c r="R11" s="352"/>
      <c r="S11" s="585" t="str">
        <f>+Worksheet!$N21</f>
        <v>SAVE RODS</v>
      </c>
      <c r="T11" s="586"/>
      <c r="U11" s="587" t="s">
        <v>26</v>
      </c>
      <c r="V11" s="588"/>
      <c r="W11" s="589"/>
      <c r="X11" s="390" t="str">
        <f>+Worksheet!$L21</f>
        <v>seamed</v>
      </c>
      <c r="Z11" s="590"/>
      <c r="AA11" s="591"/>
      <c r="AB11" s="581"/>
      <c r="AC11" s="581"/>
      <c r="AD11" s="581"/>
      <c r="AE11" s="582"/>
      <c r="AF11" s="420"/>
      <c r="AG11" s="352"/>
      <c r="AH11" s="352"/>
      <c r="AI11" s="585">
        <f>+Worksheet!$N26</f>
        <v>0</v>
      </c>
      <c r="AJ11" s="586"/>
      <c r="AK11" s="587" t="s">
        <v>26</v>
      </c>
      <c r="AL11" s="588"/>
      <c r="AM11" s="589"/>
      <c r="AN11" s="390">
        <f>+Worksheet!$L26</f>
        <v>0</v>
      </c>
      <c r="AP11" s="590"/>
      <c r="AQ11" s="591"/>
      <c r="AR11" s="581"/>
      <c r="AS11" s="581"/>
      <c r="AT11" s="581"/>
      <c r="AU11" s="582"/>
      <c r="AV11" s="420"/>
      <c r="AW11" s="352"/>
      <c r="AX11" s="352"/>
      <c r="AY11" s="585">
        <f>+Worksheet!$N31</f>
        <v>0</v>
      </c>
      <c r="AZ11" s="586"/>
      <c r="BA11" s="587" t="s">
        <v>26</v>
      </c>
      <c r="BB11" s="588"/>
      <c r="BC11" s="589"/>
      <c r="BD11" s="390">
        <f>+Worksheet!$L31</f>
        <v>0</v>
      </c>
      <c r="BF11" s="590"/>
      <c r="BG11" s="591"/>
      <c r="BH11" s="581"/>
      <c r="BI11" s="581"/>
      <c r="BJ11" s="581"/>
      <c r="BK11" s="582"/>
      <c r="BL11" s="420"/>
      <c r="BM11" s="352"/>
      <c r="BN11" s="352"/>
      <c r="BO11" s="585">
        <f>+Worksheet!$N36</f>
        <v>0</v>
      </c>
      <c r="BP11" s="586"/>
      <c r="BQ11" s="587" t="s">
        <v>26</v>
      </c>
      <c r="BR11" s="588"/>
      <c r="BS11" s="589"/>
      <c r="BT11" s="390">
        <f>+Worksheet!$L36</f>
        <v>0</v>
      </c>
      <c r="BV11" s="590"/>
      <c r="BW11" s="591"/>
      <c r="BX11" s="581"/>
      <c r="BY11" s="581"/>
      <c r="BZ11" s="581"/>
      <c r="CA11" s="582"/>
    </row>
    <row r="12" spans="1:79" ht="21" customHeight="1" x14ac:dyDescent="0.35">
      <c r="C12" s="392" t="s">
        <v>20</v>
      </c>
      <c r="D12" s="393" t="s">
        <v>27</v>
      </c>
      <c r="E12" s="594" t="s">
        <v>28</v>
      </c>
      <c r="F12" s="595"/>
      <c r="G12" s="596"/>
      <c r="H12" s="394" t="str">
        <f>+IF(Worksheet!$K16&gt;0,Worksheet!$K16,"NO facia")</f>
        <v>NO facia</v>
      </c>
      <c r="J12" s="392" t="s">
        <v>20</v>
      </c>
      <c r="K12" s="393" t="s">
        <v>27</v>
      </c>
      <c r="L12" s="581"/>
      <c r="M12" s="581"/>
      <c r="N12" s="581"/>
      <c r="O12" s="582"/>
      <c r="P12" s="420"/>
      <c r="S12" s="392" t="s">
        <v>20</v>
      </c>
      <c r="T12" s="393" t="s">
        <v>27</v>
      </c>
      <c r="U12" s="594" t="s">
        <v>28</v>
      </c>
      <c r="V12" s="595"/>
      <c r="W12" s="596"/>
      <c r="X12" s="394" t="str">
        <f>+IF(Worksheet!$K21&gt;0,Worksheet!$K21,"NO facia")</f>
        <v>White</v>
      </c>
      <c r="Z12" s="392" t="s">
        <v>20</v>
      </c>
      <c r="AA12" s="393" t="s">
        <v>27</v>
      </c>
      <c r="AB12" s="581"/>
      <c r="AC12" s="581"/>
      <c r="AD12" s="581"/>
      <c r="AE12" s="582"/>
      <c r="AF12" s="420"/>
      <c r="AI12" s="392" t="s">
        <v>20</v>
      </c>
      <c r="AJ12" s="393" t="s">
        <v>27</v>
      </c>
      <c r="AK12" s="594" t="s">
        <v>28</v>
      </c>
      <c r="AL12" s="595"/>
      <c r="AM12" s="596"/>
      <c r="AN12" s="394" t="str">
        <f>+IF(Worksheet!$K26&gt;0,Worksheet!$K26,"NO facia")</f>
        <v>NO facia</v>
      </c>
      <c r="AP12" s="392" t="s">
        <v>20</v>
      </c>
      <c r="AQ12" s="393" t="s">
        <v>27</v>
      </c>
      <c r="AR12" s="581"/>
      <c r="AS12" s="581"/>
      <c r="AT12" s="581"/>
      <c r="AU12" s="582"/>
      <c r="AV12" s="420"/>
      <c r="AY12" s="392" t="s">
        <v>20</v>
      </c>
      <c r="AZ12" s="393" t="s">
        <v>27</v>
      </c>
      <c r="BA12" s="594" t="s">
        <v>28</v>
      </c>
      <c r="BB12" s="595"/>
      <c r="BC12" s="596"/>
      <c r="BD12" s="394" t="str">
        <f>+IF(Worksheet!$K31&gt;0,Worksheet!$K31,"NO facia")</f>
        <v>NO facia</v>
      </c>
      <c r="BF12" s="392" t="s">
        <v>20</v>
      </c>
      <c r="BG12" s="393" t="s">
        <v>27</v>
      </c>
      <c r="BH12" s="581"/>
      <c r="BI12" s="581"/>
      <c r="BJ12" s="581"/>
      <c r="BK12" s="582"/>
      <c r="BL12" s="420"/>
      <c r="BO12" s="392" t="s">
        <v>20</v>
      </c>
      <c r="BP12" s="393" t="s">
        <v>27</v>
      </c>
      <c r="BQ12" s="594" t="s">
        <v>28</v>
      </c>
      <c r="BR12" s="595"/>
      <c r="BS12" s="596"/>
      <c r="BT12" s="394" t="str">
        <f>+IF(Worksheet!$K36&gt;0,Worksheet!$K36,"NO facia")</f>
        <v>NO facia</v>
      </c>
      <c r="BV12" s="392" t="s">
        <v>20</v>
      </c>
      <c r="BW12" s="393" t="s">
        <v>27</v>
      </c>
      <c r="BX12" s="581"/>
      <c r="BY12" s="581"/>
      <c r="BZ12" s="581"/>
      <c r="CA12" s="582"/>
    </row>
    <row r="13" spans="1:79" ht="29.1" customHeight="1" x14ac:dyDescent="0.6">
      <c r="C13" s="395">
        <f>Worksheet!$AH16</f>
        <v>43.625</v>
      </c>
      <c r="D13" s="396">
        <f>ROUND(+F8+12,0)</f>
        <v>147</v>
      </c>
      <c r="E13" s="597" t="s">
        <v>29</v>
      </c>
      <c r="F13" s="598"/>
      <c r="G13" s="599"/>
      <c r="H13" s="394" t="str">
        <f>+IF(Worksheet!$K16&gt;0,"facia brkts","reg. brkts")</f>
        <v>reg. brkts</v>
      </c>
      <c r="J13" s="395">
        <f>C13</f>
        <v>43.625</v>
      </c>
      <c r="K13" s="396">
        <f>D13</f>
        <v>147</v>
      </c>
      <c r="L13" s="583"/>
      <c r="M13" s="583"/>
      <c r="N13" s="583"/>
      <c r="O13" s="584"/>
      <c r="P13" s="420"/>
      <c r="S13" s="395">
        <f>Worksheet!$AH21</f>
        <v>34.625</v>
      </c>
      <c r="T13" s="396">
        <f>ROUND(+V8+12,0)</f>
        <v>76</v>
      </c>
      <c r="U13" s="597" t="s">
        <v>29</v>
      </c>
      <c r="V13" s="598"/>
      <c r="W13" s="599"/>
      <c r="X13" s="394" t="str">
        <f>+IF(Worksheet!$K21&gt;0,"facia brkts","reg. brkts")</f>
        <v>facia brkts</v>
      </c>
      <c r="Z13" s="395">
        <f>S13</f>
        <v>34.625</v>
      </c>
      <c r="AA13" s="396">
        <f>T13</f>
        <v>76</v>
      </c>
      <c r="AB13" s="583"/>
      <c r="AC13" s="583"/>
      <c r="AD13" s="583"/>
      <c r="AE13" s="584"/>
      <c r="AF13" s="420"/>
      <c r="AG13" s="352" t="s">
        <v>81</v>
      </c>
      <c r="AI13" s="395">
        <f>Worksheet!$AH26</f>
        <v>-1.375</v>
      </c>
      <c r="AJ13" s="396">
        <f>ROUND(+AL8+12,0)</f>
        <v>12</v>
      </c>
      <c r="AK13" s="597" t="s">
        <v>29</v>
      </c>
      <c r="AL13" s="598"/>
      <c r="AM13" s="599"/>
      <c r="AN13" s="394" t="str">
        <f>+IF(Worksheet!$K26&gt;0,"facia brkts","reg. brkts")</f>
        <v>reg. brkts</v>
      </c>
      <c r="AP13" s="395">
        <f>AI13</f>
        <v>-1.375</v>
      </c>
      <c r="AQ13" s="396">
        <f>AJ13</f>
        <v>12</v>
      </c>
      <c r="AR13" s="583"/>
      <c r="AS13" s="583"/>
      <c r="AT13" s="583"/>
      <c r="AU13" s="584"/>
      <c r="AV13" s="420"/>
      <c r="AY13" s="395">
        <f>Worksheet!$AH31</f>
        <v>-1.375</v>
      </c>
      <c r="AZ13" s="396">
        <f>ROUND(+BB8+12,0)</f>
        <v>12</v>
      </c>
      <c r="BA13" s="597" t="s">
        <v>29</v>
      </c>
      <c r="BB13" s="598"/>
      <c r="BC13" s="599"/>
      <c r="BD13" s="394" t="str">
        <f>+IF(Worksheet!$K31&gt;0,"facia brkts","reg. brkts")</f>
        <v>reg. brkts</v>
      </c>
      <c r="BF13" s="395">
        <f>AY13</f>
        <v>-1.375</v>
      </c>
      <c r="BG13" s="396">
        <f>AZ13</f>
        <v>12</v>
      </c>
      <c r="BH13" s="583"/>
      <c r="BI13" s="583"/>
      <c r="BJ13" s="583"/>
      <c r="BK13" s="584"/>
      <c r="BL13" s="420"/>
      <c r="BO13" s="395">
        <f>Worksheet!$AH36</f>
        <v>-1.375</v>
      </c>
      <c r="BP13" s="396">
        <f>ROUND(+BR8+12,0)</f>
        <v>12</v>
      </c>
      <c r="BQ13" s="597" t="s">
        <v>29</v>
      </c>
      <c r="BR13" s="598"/>
      <c r="BS13" s="599"/>
      <c r="BT13" s="394" t="str">
        <f>+IF(Worksheet!$K36&gt;0,"facia brkts","reg. brkts")</f>
        <v>reg. brkts</v>
      </c>
      <c r="BV13" s="395">
        <f>BO13</f>
        <v>-1.375</v>
      </c>
      <c r="BW13" s="396">
        <f>BP13</f>
        <v>12</v>
      </c>
      <c r="BX13" s="583"/>
      <c r="BY13" s="583"/>
      <c r="BZ13" s="583"/>
      <c r="CA13" s="584"/>
    </row>
    <row r="14" spans="1:79" ht="30" customHeight="1" thickBot="1" x14ac:dyDescent="0.65">
      <c r="C14" s="397"/>
      <c r="D14" s="398" t="str">
        <f>+IF($C8&gt;0,"ROLLERSHADE","do not use")</f>
        <v>ROLLERSHADE</v>
      </c>
      <c r="E14" s="399"/>
      <c r="F14" s="399"/>
      <c r="G14" s="399"/>
      <c r="H14" s="400"/>
      <c r="J14" s="401"/>
      <c r="K14" s="398" t="str">
        <f>+IF(C8&gt;0,"TUBE SIZE","do not use")</f>
        <v>TUBE SIZE</v>
      </c>
      <c r="L14" s="399"/>
      <c r="M14" s="408" t="str">
        <f>IF(K14="TUBE SIZE",C8,IF(Worksheet!E16="Fabric ONLY","Fabric ONLY"," "))</f>
        <v>Tube 2.375</v>
      </c>
      <c r="N14" s="399"/>
      <c r="O14" s="400"/>
      <c r="P14" s="384"/>
      <c r="S14" s="397"/>
      <c r="T14" s="398" t="str">
        <f>+IF($T8&gt;0,"ROLLERSHADE","do not use")</f>
        <v>ROLLERSHADE</v>
      </c>
      <c r="U14" s="399"/>
      <c r="V14" s="399"/>
      <c r="W14" s="399"/>
      <c r="X14" s="400"/>
      <c r="Z14" s="401"/>
      <c r="AA14" s="398" t="str">
        <f>+IF(S8&gt;0,"TUBE SIZE","do not use")</f>
        <v>TUBE SIZE</v>
      </c>
      <c r="AB14" s="399"/>
      <c r="AC14" s="408" t="str">
        <f>IF(AA14="TUBE SIZE",S8,IF(Worksheet!U16="Fabric ONLY","Fabric ONLY"," "))</f>
        <v>Tube 1.5</v>
      </c>
      <c r="AD14" s="399"/>
      <c r="AE14" s="400"/>
      <c r="AF14" s="384"/>
      <c r="AI14" s="397"/>
      <c r="AJ14" s="398" t="str">
        <f>+IF($AI8&gt;0,"ROLLERSHADE","do not use")</f>
        <v>do not use</v>
      </c>
      <c r="AK14" s="399"/>
      <c r="AL14" s="399"/>
      <c r="AM14" s="399"/>
      <c r="AN14" s="400"/>
      <c r="AP14" s="401"/>
      <c r="AQ14" s="398" t="str">
        <f>+IF(AI8&gt;0,"TUBE SIZE","do not use")</f>
        <v>do not use</v>
      </c>
      <c r="AR14" s="399"/>
      <c r="AS14" s="408" t="str">
        <f>IF(AQ14="TUBE SIZE",AI8,IF(Worksheet!AR16="Fabric ONLY","Fabric ONLY"," "))</f>
        <v xml:space="preserve"> </v>
      </c>
      <c r="AT14" s="399"/>
      <c r="AU14" s="400"/>
      <c r="AV14" s="384"/>
      <c r="AY14" s="397"/>
      <c r="AZ14" s="398" t="str">
        <f>+IF($AY8&gt;0,"ROLLERSHADE","do not use")</f>
        <v>do not use</v>
      </c>
      <c r="BA14" s="399"/>
      <c r="BB14" s="399"/>
      <c r="BC14" s="399"/>
      <c r="BD14" s="400"/>
      <c r="BF14" s="401"/>
      <c r="BG14" s="398" t="str">
        <f>+IF(AY8&gt;0,"TUBE SIZE","do not use")</f>
        <v>do not use</v>
      </c>
      <c r="BH14" s="399"/>
      <c r="BI14" s="408" t="str">
        <f>IF(BG14="TUBE SIZE",AY8,IF(Worksheet!BH16="Fabric ONLY","Fabric ONLY"," "))</f>
        <v xml:space="preserve"> </v>
      </c>
      <c r="BJ14" s="399"/>
      <c r="BK14" s="400"/>
      <c r="BL14" s="384"/>
      <c r="BO14" s="397"/>
      <c r="BP14" s="398" t="str">
        <f>+IF($BO8&gt;0,"ROLLERSHADE","do not use")</f>
        <v>do not use</v>
      </c>
      <c r="BQ14" s="399"/>
      <c r="BR14" s="399"/>
      <c r="BS14" s="399"/>
      <c r="BT14" s="400"/>
      <c r="BV14" s="401"/>
      <c r="BW14" s="398" t="str">
        <f>+IF(BO8&gt;0,"TUBE SIZE","do not use")</f>
        <v>do not use</v>
      </c>
      <c r="BX14" s="399"/>
      <c r="BY14" s="408" t="str">
        <f>IF(BW14="TUBE SIZE",BO8,IF(Worksheet!BX16="Fabric ONLY","Fabric ONLY"," "))</f>
        <v xml:space="preserve"> </v>
      </c>
      <c r="BZ14" s="399"/>
      <c r="CA14" s="400"/>
    </row>
    <row r="15" spans="1:79" ht="51.75" customHeight="1" thickBot="1" x14ac:dyDescent="0.65">
      <c r="C15" s="402"/>
      <c r="D15" s="403"/>
      <c r="J15" s="402"/>
      <c r="K15" s="403"/>
      <c r="S15" s="404"/>
      <c r="T15" s="405"/>
      <c r="U15" s="384"/>
      <c r="V15" s="384"/>
      <c r="W15" s="384"/>
      <c r="X15" s="384"/>
      <c r="Z15" s="402"/>
      <c r="AA15" s="403"/>
      <c r="AI15" s="404"/>
      <c r="AJ15" s="405"/>
      <c r="AK15" s="384"/>
      <c r="AL15" s="384"/>
      <c r="AM15" s="384"/>
      <c r="AN15" s="384"/>
      <c r="AP15" s="402"/>
      <c r="AQ15" s="403"/>
      <c r="AY15" s="404"/>
      <c r="AZ15" s="405"/>
      <c r="BA15" s="384"/>
      <c r="BB15" s="384"/>
      <c r="BC15" s="384"/>
      <c r="BD15" s="384"/>
      <c r="BF15" s="402"/>
      <c r="BG15" s="403"/>
      <c r="BO15" s="404"/>
      <c r="BP15" s="405"/>
      <c r="BQ15" s="384"/>
      <c r="BR15" s="384"/>
      <c r="BS15" s="384"/>
      <c r="BT15" s="384"/>
      <c r="BV15" s="402"/>
      <c r="BW15" s="403"/>
    </row>
    <row r="16" spans="1:79" ht="20.100000000000001" customHeight="1" thickBot="1" x14ac:dyDescent="0.7">
      <c r="A16" s="352" t="s">
        <v>2481</v>
      </c>
      <c r="B16" s="352" t="s">
        <v>2480</v>
      </c>
      <c r="C16" s="359" t="s">
        <v>21</v>
      </c>
      <c r="D16" s="564">
        <f>+jobnumber</f>
        <v>33303</v>
      </c>
      <c r="E16" s="565"/>
      <c r="F16" s="565"/>
      <c r="G16" s="566"/>
      <c r="H16" s="567" t="str">
        <f>+Worksheet!$B17</f>
        <v>P1-RS2</v>
      </c>
      <c r="J16" s="359" t="s">
        <v>21</v>
      </c>
      <c r="K16" s="360">
        <f>+jobnumber</f>
        <v>33303</v>
      </c>
      <c r="L16" s="361"/>
      <c r="M16" s="361"/>
      <c r="N16" s="361"/>
      <c r="O16" s="567" t="str">
        <f>+H16</f>
        <v>P1-RS2</v>
      </c>
      <c r="P16" s="362"/>
      <c r="Q16" s="352" t="s">
        <v>54</v>
      </c>
      <c r="R16" s="352" t="s">
        <v>2487</v>
      </c>
      <c r="S16" s="359" t="s">
        <v>21</v>
      </c>
      <c r="T16" s="564">
        <f>+jobnumber</f>
        <v>33303</v>
      </c>
      <c r="U16" s="565"/>
      <c r="V16" s="565"/>
      <c r="W16" s="566"/>
      <c r="X16" s="567" t="str">
        <f>+Worksheet!$B22</f>
        <v>P1-RS7</v>
      </c>
      <c r="Z16" s="359" t="s">
        <v>21</v>
      </c>
      <c r="AA16" s="360">
        <f>+jobnumber</f>
        <v>33303</v>
      </c>
      <c r="AB16" s="361"/>
      <c r="AC16" s="361"/>
      <c r="AD16" s="361"/>
      <c r="AE16" s="567" t="str">
        <f>+X16</f>
        <v>P1-RS7</v>
      </c>
      <c r="AF16" s="362"/>
      <c r="AG16" s="352" t="s">
        <v>60</v>
      </c>
      <c r="AH16" s="352" t="s">
        <v>2492</v>
      </c>
      <c r="AI16" s="359" t="s">
        <v>21</v>
      </c>
      <c r="AJ16" s="564">
        <f>+jobnumber</f>
        <v>33303</v>
      </c>
      <c r="AK16" s="565"/>
      <c r="AL16" s="565"/>
      <c r="AM16" s="566"/>
      <c r="AN16" s="567" t="str">
        <f>+Worksheet!$B27</f>
        <v>P1-RS12</v>
      </c>
      <c r="AP16" s="359" t="s">
        <v>21</v>
      </c>
      <c r="AQ16" s="360">
        <f>+jobnumber</f>
        <v>33303</v>
      </c>
      <c r="AR16" s="361"/>
      <c r="AS16" s="361"/>
      <c r="AT16" s="361"/>
      <c r="AU16" s="567" t="str">
        <f>+AN16</f>
        <v>P1-RS12</v>
      </c>
      <c r="AV16" s="362"/>
      <c r="AW16" s="352" t="s">
        <v>65</v>
      </c>
      <c r="AX16" s="352" t="s">
        <v>2497</v>
      </c>
      <c r="AY16" s="359" t="s">
        <v>21</v>
      </c>
      <c r="AZ16" s="564">
        <f>+jobnumber</f>
        <v>33303</v>
      </c>
      <c r="BA16" s="565"/>
      <c r="BB16" s="565"/>
      <c r="BC16" s="566"/>
      <c r="BD16" s="567" t="str">
        <f>+Worksheet!$B32</f>
        <v>P1-RS17</v>
      </c>
      <c r="BF16" s="359" t="s">
        <v>21</v>
      </c>
      <c r="BG16" s="360">
        <f>+jobnumber</f>
        <v>33303</v>
      </c>
      <c r="BH16" s="361"/>
      <c r="BI16" s="361"/>
      <c r="BJ16" s="361"/>
      <c r="BK16" s="567" t="str">
        <f>+BD16</f>
        <v>P1-RS17</v>
      </c>
      <c r="BL16" s="362"/>
      <c r="BM16" s="352" t="s">
        <v>178</v>
      </c>
      <c r="BN16" s="352" t="s">
        <v>2502</v>
      </c>
      <c r="BO16" s="359" t="s">
        <v>21</v>
      </c>
      <c r="BP16" s="564">
        <f>+jobnumber</f>
        <v>33303</v>
      </c>
      <c r="BQ16" s="565"/>
      <c r="BR16" s="565"/>
      <c r="BS16" s="566"/>
      <c r="BT16" s="567" t="str">
        <f>+Worksheet!$B37</f>
        <v>P1-RS22</v>
      </c>
      <c r="BV16" s="359" t="s">
        <v>21</v>
      </c>
      <c r="BW16" s="360">
        <f>+jobnumber</f>
        <v>33303</v>
      </c>
      <c r="BX16" s="361"/>
      <c r="BY16" s="361"/>
      <c r="BZ16" s="361"/>
      <c r="CA16" s="567" t="str">
        <f>+BT16</f>
        <v>P1-RS22</v>
      </c>
    </row>
    <row r="17" spans="1:79" s="364" customFormat="1" ht="20.100000000000001" customHeight="1" thickBot="1" x14ac:dyDescent="0.7">
      <c r="A17" s="352"/>
      <c r="B17" s="352"/>
      <c r="C17" s="363" t="s">
        <v>2626</v>
      </c>
      <c r="D17" s="569" t="str">
        <f>+_xlfn.SINGLE(bill_name)</f>
        <v>JLL</v>
      </c>
      <c r="E17" s="570"/>
      <c r="F17" s="570"/>
      <c r="G17" s="571"/>
      <c r="H17" s="568"/>
      <c r="J17" s="365" t="s">
        <v>22</v>
      </c>
      <c r="K17" s="366" t="str">
        <f>+_xlfn.SINGLE(bill_name)</f>
        <v>JLL</v>
      </c>
      <c r="L17" s="367"/>
      <c r="M17" s="367"/>
      <c r="N17" s="367"/>
      <c r="O17" s="568"/>
      <c r="P17" s="362"/>
      <c r="Q17" s="352"/>
      <c r="R17" s="352"/>
      <c r="S17" s="363" t="s">
        <v>2626</v>
      </c>
      <c r="T17" s="569" t="str">
        <f>+_xlfn.SINGLE(bill_name)</f>
        <v>JLL</v>
      </c>
      <c r="U17" s="570"/>
      <c r="V17" s="570"/>
      <c r="W17" s="571"/>
      <c r="X17" s="568"/>
      <c r="Z17" s="365" t="s">
        <v>22</v>
      </c>
      <c r="AA17" s="366" t="str">
        <f>+_xlfn.SINGLE(bill_name)</f>
        <v>JLL</v>
      </c>
      <c r="AB17" s="367"/>
      <c r="AC17" s="367"/>
      <c r="AD17" s="367"/>
      <c r="AE17" s="568"/>
      <c r="AF17" s="362"/>
      <c r="AG17" s="352"/>
      <c r="AH17" s="352"/>
      <c r="AI17" s="363" t="s">
        <v>2626</v>
      </c>
      <c r="AJ17" s="569" t="str">
        <f>+_xlfn.SINGLE(bill_name)</f>
        <v>JLL</v>
      </c>
      <c r="AK17" s="570"/>
      <c r="AL17" s="570"/>
      <c r="AM17" s="571"/>
      <c r="AN17" s="568"/>
      <c r="AP17" s="365" t="s">
        <v>22</v>
      </c>
      <c r="AQ17" s="366" t="str">
        <f>+_xlfn.SINGLE(bill_name)</f>
        <v>JLL</v>
      </c>
      <c r="AR17" s="367"/>
      <c r="AS17" s="367"/>
      <c r="AT17" s="367"/>
      <c r="AU17" s="568"/>
      <c r="AV17" s="362"/>
      <c r="AW17" s="352"/>
      <c r="AX17" s="352"/>
      <c r="AY17" s="363" t="s">
        <v>2626</v>
      </c>
      <c r="AZ17" s="569" t="str">
        <f>+_xlfn.SINGLE(bill_name)</f>
        <v>JLL</v>
      </c>
      <c r="BA17" s="570"/>
      <c r="BB17" s="570"/>
      <c r="BC17" s="571"/>
      <c r="BD17" s="568"/>
      <c r="BF17" s="365" t="s">
        <v>22</v>
      </c>
      <c r="BG17" s="366" t="str">
        <f>+_xlfn.SINGLE(bill_name)</f>
        <v>JLL</v>
      </c>
      <c r="BH17" s="367"/>
      <c r="BI17" s="367"/>
      <c r="BJ17" s="367"/>
      <c r="BK17" s="568"/>
      <c r="BL17" s="362"/>
      <c r="BM17" s="352"/>
      <c r="BN17" s="352"/>
      <c r="BO17" s="363" t="s">
        <v>2626</v>
      </c>
      <c r="BP17" s="569" t="str">
        <f>+_xlfn.SINGLE(bill_name)</f>
        <v>JLL</v>
      </c>
      <c r="BQ17" s="570"/>
      <c r="BR17" s="570"/>
      <c r="BS17" s="571"/>
      <c r="BT17" s="568"/>
      <c r="BV17" s="365" t="s">
        <v>22</v>
      </c>
      <c r="BW17" s="366" t="str">
        <f>+_xlfn.SINGLE(bill_name)</f>
        <v>JLL</v>
      </c>
      <c r="BX17" s="367"/>
      <c r="BY17" s="367"/>
      <c r="BZ17" s="367"/>
      <c r="CA17" s="568"/>
    </row>
    <row r="18" spans="1:79" s="364" customFormat="1" ht="20.100000000000001" customHeight="1" x14ac:dyDescent="0.4">
      <c r="A18" s="352"/>
      <c r="B18" s="352"/>
      <c r="C18" s="368" t="s">
        <v>2627</v>
      </c>
      <c r="D18" s="572" t="str">
        <f>+jobname</f>
        <v>Cottonwood Creek WO#I5187109-00104</v>
      </c>
      <c r="E18" s="573"/>
      <c r="F18" s="573"/>
      <c r="G18" s="573"/>
      <c r="H18" s="574"/>
      <c r="J18" s="369" t="s">
        <v>78</v>
      </c>
      <c r="K18" s="577" t="str">
        <f>+jobname</f>
        <v>Cottonwood Creek WO#I5187109-00104</v>
      </c>
      <c r="L18" s="578"/>
      <c r="M18" s="578"/>
      <c r="N18" s="578"/>
      <c r="O18" s="579"/>
      <c r="P18" s="373"/>
      <c r="Q18" s="352"/>
      <c r="R18" s="352"/>
      <c r="S18" s="368" t="s">
        <v>2627</v>
      </c>
      <c r="T18" s="572" t="str">
        <f>+jobname</f>
        <v>Cottonwood Creek WO#I5187109-00104</v>
      </c>
      <c r="U18" s="573"/>
      <c r="V18" s="573"/>
      <c r="W18" s="573"/>
      <c r="X18" s="574"/>
      <c r="Z18" s="369" t="s">
        <v>78</v>
      </c>
      <c r="AA18" s="370" t="str">
        <f>+jobname</f>
        <v>Cottonwood Creek WO#I5187109-00104</v>
      </c>
      <c r="AB18" s="371"/>
      <c r="AC18" s="371"/>
      <c r="AD18" s="371"/>
      <c r="AE18" s="372"/>
      <c r="AF18" s="373"/>
      <c r="AG18" s="352"/>
      <c r="AH18" s="352"/>
      <c r="AI18" s="368" t="s">
        <v>2627</v>
      </c>
      <c r="AJ18" s="572" t="str">
        <f>+jobname</f>
        <v>Cottonwood Creek WO#I5187109-00104</v>
      </c>
      <c r="AK18" s="573"/>
      <c r="AL18" s="573"/>
      <c r="AM18" s="573"/>
      <c r="AN18" s="574"/>
      <c r="AP18" s="369" t="s">
        <v>78</v>
      </c>
      <c r="AQ18" s="370" t="str">
        <f>+jobname</f>
        <v>Cottonwood Creek WO#I5187109-00104</v>
      </c>
      <c r="AR18" s="371"/>
      <c r="AS18" s="371"/>
      <c r="AT18" s="371"/>
      <c r="AU18" s="372"/>
      <c r="AV18" s="373"/>
      <c r="AW18" s="352"/>
      <c r="AX18" s="352"/>
      <c r="AY18" s="368" t="s">
        <v>2627</v>
      </c>
      <c r="AZ18" s="572" t="str">
        <f>+jobname</f>
        <v>Cottonwood Creek WO#I5187109-00104</v>
      </c>
      <c r="BA18" s="573"/>
      <c r="BB18" s="573"/>
      <c r="BC18" s="573"/>
      <c r="BD18" s="574"/>
      <c r="BF18" s="369" t="s">
        <v>78</v>
      </c>
      <c r="BG18" s="370" t="str">
        <f>+jobname</f>
        <v>Cottonwood Creek WO#I5187109-00104</v>
      </c>
      <c r="BH18" s="371"/>
      <c r="BI18" s="371"/>
      <c r="BJ18" s="371"/>
      <c r="BK18" s="372"/>
      <c r="BL18" s="373"/>
      <c r="BM18" s="352"/>
      <c r="BN18" s="352"/>
      <c r="BO18" s="368" t="s">
        <v>2627</v>
      </c>
      <c r="BP18" s="572" t="str">
        <f>+jobname</f>
        <v>Cottonwood Creek WO#I5187109-00104</v>
      </c>
      <c r="BQ18" s="573"/>
      <c r="BR18" s="573"/>
      <c r="BS18" s="573"/>
      <c r="BT18" s="574"/>
      <c r="BV18" s="369" t="s">
        <v>78</v>
      </c>
      <c r="BW18" s="370" t="str">
        <f>+jobname</f>
        <v>Cottonwood Creek WO#I5187109-00104</v>
      </c>
      <c r="BX18" s="371"/>
      <c r="BY18" s="371"/>
      <c r="BZ18" s="371"/>
      <c r="CA18" s="372"/>
    </row>
    <row r="19" spans="1:79" s="364" customFormat="1" ht="20.100000000000001" customHeight="1" x14ac:dyDescent="0.35">
      <c r="A19" s="352" t="s">
        <v>81</v>
      </c>
      <c r="B19" s="352"/>
      <c r="C19" s="374" t="s">
        <v>23</v>
      </c>
      <c r="D19" s="575" t="str">
        <f>+Worksheet!$C17</f>
        <v>Chapel West</v>
      </c>
      <c r="E19" s="576"/>
      <c r="F19" s="576"/>
      <c r="G19" s="371"/>
      <c r="H19" s="375" t="str">
        <f>+IF(Worksheet!$O$9=1,"Install",IF(Worksheet!$O$9=2,"Deliver",IF(Worksheet!$O$9=3,"Will Call",0)))</f>
        <v>Install</v>
      </c>
      <c r="J19" s="374" t="s">
        <v>23</v>
      </c>
      <c r="K19" s="373" t="str">
        <f>D19</f>
        <v>Chapel West</v>
      </c>
      <c r="L19" s="371"/>
      <c r="M19" s="371"/>
      <c r="N19" s="371"/>
      <c r="O19" s="376" t="str">
        <f>H19</f>
        <v>Install</v>
      </c>
      <c r="P19" s="373"/>
      <c r="Q19" s="352"/>
      <c r="R19" s="352"/>
      <c r="S19" s="374" t="s">
        <v>23</v>
      </c>
      <c r="T19" s="575" t="str">
        <f>+Worksheet!$C22</f>
        <v>Room 105</v>
      </c>
      <c r="U19" s="576"/>
      <c r="V19" s="576"/>
      <c r="W19" s="371"/>
      <c r="X19" s="375" t="str">
        <f>+IF(Worksheet!$O$9=1,"Install",IF(Worksheet!$O$9=2,"Deliver",IF(Worksheet!$O$9=3,"Will Call",0)))</f>
        <v>Install</v>
      </c>
      <c r="Z19" s="374" t="s">
        <v>23</v>
      </c>
      <c r="AA19" s="373" t="str">
        <f>T19</f>
        <v>Room 105</v>
      </c>
      <c r="AB19" s="371"/>
      <c r="AC19" s="371"/>
      <c r="AD19" s="371"/>
      <c r="AE19" s="376" t="str">
        <f>X19</f>
        <v>Install</v>
      </c>
      <c r="AF19" s="373"/>
      <c r="AG19" s="352"/>
      <c r="AH19" s="352"/>
      <c r="AI19" s="374" t="s">
        <v>23</v>
      </c>
      <c r="AJ19" s="575">
        <f>+Worksheet!$C27</f>
        <v>0</v>
      </c>
      <c r="AK19" s="576"/>
      <c r="AL19" s="576"/>
      <c r="AM19" s="371"/>
      <c r="AN19" s="375" t="str">
        <f>+IF(Worksheet!$O$9=1,"Install",IF(Worksheet!$O$9=2,"Deliver",IF(Worksheet!$O$9=3,"Will Call",0)))</f>
        <v>Install</v>
      </c>
      <c r="AP19" s="374" t="s">
        <v>23</v>
      </c>
      <c r="AQ19" s="373">
        <f>AJ19</f>
        <v>0</v>
      </c>
      <c r="AR19" s="371"/>
      <c r="AS19" s="371"/>
      <c r="AT19" s="371"/>
      <c r="AU19" s="376" t="str">
        <f>AN19</f>
        <v>Install</v>
      </c>
      <c r="AV19" s="373"/>
      <c r="AW19" s="352"/>
      <c r="AX19" s="352"/>
      <c r="AY19" s="374" t="s">
        <v>23</v>
      </c>
      <c r="AZ19" s="575">
        <f>+Worksheet!$C32</f>
        <v>0</v>
      </c>
      <c r="BA19" s="576"/>
      <c r="BB19" s="576"/>
      <c r="BC19" s="371"/>
      <c r="BD19" s="375" t="str">
        <f>+IF(Worksheet!$O$9=1,"Install",IF(Worksheet!$O$9=2,"Deliver",IF(Worksheet!$O$9=3,"Will Call",0)))</f>
        <v>Install</v>
      </c>
      <c r="BF19" s="374" t="s">
        <v>23</v>
      </c>
      <c r="BG19" s="373">
        <f>AZ19</f>
        <v>0</v>
      </c>
      <c r="BH19" s="371"/>
      <c r="BI19" s="371"/>
      <c r="BJ19" s="371"/>
      <c r="BK19" s="376" t="str">
        <f>BD19</f>
        <v>Install</v>
      </c>
      <c r="BL19" s="373"/>
      <c r="BM19" s="352"/>
      <c r="BN19" s="352"/>
      <c r="BO19" s="374" t="s">
        <v>23</v>
      </c>
      <c r="BP19" s="575">
        <f>+Worksheet!$C37</f>
        <v>0</v>
      </c>
      <c r="BQ19" s="576"/>
      <c r="BR19" s="576"/>
      <c r="BS19" s="371"/>
      <c r="BT19" s="375" t="str">
        <f>+IF(Worksheet!$O$9=1,"Install",IF(Worksheet!$O$9=2,"Deliver",IF(Worksheet!$O$9=3,"Will Call",0)))</f>
        <v>Install</v>
      </c>
      <c r="BV19" s="374" t="s">
        <v>23</v>
      </c>
      <c r="BW19" s="373">
        <f>BP19</f>
        <v>0</v>
      </c>
      <c r="BX19" s="371"/>
      <c r="BY19" s="371"/>
      <c r="BZ19" s="371"/>
      <c r="CA19" s="376" t="str">
        <f>BT19</f>
        <v>Install</v>
      </c>
    </row>
    <row r="20" spans="1:79" s="364" customFormat="1" ht="20.100000000000001" customHeight="1" x14ac:dyDescent="0.35">
      <c r="A20" s="352"/>
      <c r="B20" s="352"/>
      <c r="C20" s="377" t="str">
        <f>+IF(Worksheet!$D17&gt;0,Worksheet!$E17,0)</f>
        <v>Tube 2.375</v>
      </c>
      <c r="D20" s="378">
        <f>+Worksheet!$F17</f>
        <v>45.75</v>
      </c>
      <c r="E20" s="379" t="s">
        <v>4</v>
      </c>
      <c r="F20" s="378">
        <f>+Worksheet!$H17</f>
        <v>103</v>
      </c>
      <c r="G20" s="380"/>
      <c r="H20" s="381" t="str">
        <f>+Worksheet!$I17</f>
        <v>IB</v>
      </c>
      <c r="J20" s="377"/>
      <c r="N20" s="380"/>
      <c r="O20" s="381" t="str">
        <f>H20</f>
        <v>IB</v>
      </c>
      <c r="P20" s="382"/>
      <c r="Q20" s="352"/>
      <c r="R20" s="352"/>
      <c r="S20" s="377" t="str">
        <f>+IF(Worksheet!$D22&gt;0,Worksheet!$E22,0)</f>
        <v>Tube 1.5</v>
      </c>
      <c r="T20" s="378">
        <f>+Worksheet!$F22</f>
        <v>36.25</v>
      </c>
      <c r="U20" s="379" t="s">
        <v>4</v>
      </c>
      <c r="V20" s="378">
        <f>+Worksheet!$H22</f>
        <v>64</v>
      </c>
      <c r="W20" s="380"/>
      <c r="X20" s="381" t="str">
        <f>+Worksheet!$I22</f>
        <v>IB</v>
      </c>
      <c r="Z20" s="377"/>
      <c r="AD20" s="380"/>
      <c r="AE20" s="381" t="str">
        <f>X20</f>
        <v>IB</v>
      </c>
      <c r="AF20" s="382"/>
      <c r="AG20" s="352"/>
      <c r="AH20" s="352"/>
      <c r="AI20" s="377">
        <f>+IF(Worksheet!$D27&gt;0,Worksheet!$E27,0)</f>
        <v>0</v>
      </c>
      <c r="AJ20" s="378">
        <f>+Worksheet!$F27</f>
        <v>0</v>
      </c>
      <c r="AK20" s="379" t="s">
        <v>4</v>
      </c>
      <c r="AL20" s="378">
        <f>+Worksheet!$H27</f>
        <v>0</v>
      </c>
      <c r="AM20" s="380"/>
      <c r="AN20" s="381">
        <f>+Worksheet!$I27</f>
        <v>0</v>
      </c>
      <c r="AP20" s="377"/>
      <c r="AT20" s="380"/>
      <c r="AU20" s="381">
        <f>AN20</f>
        <v>0</v>
      </c>
      <c r="AV20" s="382"/>
      <c r="AW20" s="352"/>
      <c r="AX20" s="352"/>
      <c r="AY20" s="377">
        <f>+IF(Worksheet!$D32&gt;0,Worksheet!$E32,0)</f>
        <v>0</v>
      </c>
      <c r="AZ20" s="378">
        <f>+Worksheet!$F32</f>
        <v>0</v>
      </c>
      <c r="BA20" s="379" t="s">
        <v>4</v>
      </c>
      <c r="BB20" s="378">
        <f>+Worksheet!$H32</f>
        <v>0</v>
      </c>
      <c r="BC20" s="380"/>
      <c r="BD20" s="381">
        <f>+Worksheet!$I32</f>
        <v>0</v>
      </c>
      <c r="BF20" s="377"/>
      <c r="BJ20" s="380"/>
      <c r="BK20" s="381">
        <f>BD20</f>
        <v>0</v>
      </c>
      <c r="BL20" s="382"/>
      <c r="BM20" s="352"/>
      <c r="BN20" s="352"/>
      <c r="BO20" s="377">
        <f>+IF(Worksheet!$D37&gt;0,Worksheet!$E37,0)</f>
        <v>0</v>
      </c>
      <c r="BP20" s="378">
        <f>+Worksheet!$F37</f>
        <v>0</v>
      </c>
      <c r="BQ20" s="379" t="s">
        <v>4</v>
      </c>
      <c r="BR20" s="378">
        <f>+Worksheet!$H37</f>
        <v>0</v>
      </c>
      <c r="BS20" s="380"/>
      <c r="BT20" s="381">
        <f>+Worksheet!$I37</f>
        <v>0</v>
      </c>
      <c r="BV20" s="377"/>
      <c r="BZ20" s="380"/>
      <c r="CA20" s="381">
        <f>BT20</f>
        <v>0</v>
      </c>
    </row>
    <row r="21" spans="1:79" ht="20.100000000000001" customHeight="1" x14ac:dyDescent="0.35">
      <c r="C21" s="383" t="s">
        <v>19</v>
      </c>
      <c r="D21" s="592" t="str">
        <f>+Worksheet!$M17</f>
        <v>Panta Flex Linen</v>
      </c>
      <c r="E21" s="593"/>
      <c r="F21" s="593"/>
      <c r="G21" s="384"/>
      <c r="H21" s="385"/>
      <c r="J21" s="374" t="s">
        <v>2594</v>
      </c>
      <c r="K21" s="378">
        <f>D20</f>
        <v>45.75</v>
      </c>
      <c r="L21" s="378" t="str">
        <f>+E20</f>
        <v>X</v>
      </c>
      <c r="M21" s="378">
        <f>F20</f>
        <v>103</v>
      </c>
      <c r="N21" s="384"/>
      <c r="O21" s="385"/>
      <c r="P21" s="384"/>
      <c r="S21" s="383" t="s">
        <v>19</v>
      </c>
      <c r="T21" s="592" t="str">
        <f>+Worksheet!$M22</f>
        <v>Panta Flex Linen</v>
      </c>
      <c r="U21" s="593"/>
      <c r="V21" s="593"/>
      <c r="W21" s="384"/>
      <c r="X21" s="385"/>
      <c r="Z21" s="374" t="s">
        <v>2594</v>
      </c>
      <c r="AA21" s="378">
        <f>T20</f>
        <v>36.25</v>
      </c>
      <c r="AB21" s="378" t="str">
        <f>+U20</f>
        <v>X</v>
      </c>
      <c r="AC21" s="378">
        <f>V20</f>
        <v>64</v>
      </c>
      <c r="AD21" s="384"/>
      <c r="AE21" s="385"/>
      <c r="AF21" s="384"/>
      <c r="AI21" s="383" t="s">
        <v>19</v>
      </c>
      <c r="AJ21" s="592">
        <f>+Worksheet!$M27</f>
        <v>0</v>
      </c>
      <c r="AK21" s="593"/>
      <c r="AL21" s="593"/>
      <c r="AM21" s="384"/>
      <c r="AN21" s="385"/>
      <c r="AP21" s="374" t="s">
        <v>2594</v>
      </c>
      <c r="AQ21" s="378">
        <f>AJ20</f>
        <v>0</v>
      </c>
      <c r="AR21" s="378" t="str">
        <f>+AK20</f>
        <v>X</v>
      </c>
      <c r="AS21" s="378">
        <f>AL20</f>
        <v>0</v>
      </c>
      <c r="AT21" s="384"/>
      <c r="AU21" s="385"/>
      <c r="AV21" s="384"/>
      <c r="AY21" s="383" t="s">
        <v>19</v>
      </c>
      <c r="AZ21" s="592">
        <f>+Worksheet!$M32</f>
        <v>0</v>
      </c>
      <c r="BA21" s="593"/>
      <c r="BB21" s="593"/>
      <c r="BC21" s="384"/>
      <c r="BD21" s="385"/>
      <c r="BF21" s="374" t="s">
        <v>2594</v>
      </c>
      <c r="BG21" s="378">
        <f>AZ20</f>
        <v>0</v>
      </c>
      <c r="BH21" s="378" t="str">
        <f>+BA20</f>
        <v>X</v>
      </c>
      <c r="BI21" s="378">
        <f>BB20</f>
        <v>0</v>
      </c>
      <c r="BJ21" s="384"/>
      <c r="BK21" s="385"/>
      <c r="BL21" s="384"/>
      <c r="BO21" s="383" t="s">
        <v>19</v>
      </c>
      <c r="BP21" s="592">
        <f>+Worksheet!$M37</f>
        <v>0</v>
      </c>
      <c r="BQ21" s="593"/>
      <c r="BR21" s="593"/>
      <c r="BS21" s="384"/>
      <c r="BT21" s="385"/>
      <c r="BV21" s="374" t="s">
        <v>2594</v>
      </c>
      <c r="BW21" s="378">
        <f>BP20</f>
        <v>0</v>
      </c>
      <c r="BX21" s="378" t="str">
        <f>+BQ20</f>
        <v>X</v>
      </c>
      <c r="BY21" s="378">
        <f>BR20</f>
        <v>0</v>
      </c>
      <c r="BZ21" s="384"/>
      <c r="CA21" s="385"/>
    </row>
    <row r="22" spans="1:79" ht="20.100000000000001" customHeight="1" x14ac:dyDescent="0.35">
      <c r="C22" s="386" t="s">
        <v>24</v>
      </c>
      <c r="D22" s="387" t="str">
        <f>+IF(Worksheet!$O17="V","fabric verticle",IF(Worksheet!$O17="RR","fabric Railroad",0))</f>
        <v>fabric verticle</v>
      </c>
      <c r="E22" s="594" t="s">
        <v>25</v>
      </c>
      <c r="F22" s="595"/>
      <c r="G22" s="596"/>
      <c r="H22" s="388" t="str">
        <f>+IF(Worksheet!$J17&gt;0,Worksheet!$J17,"NO")</f>
        <v>NO</v>
      </c>
      <c r="J22" s="377"/>
      <c r="K22" s="389"/>
      <c r="L22" s="580" t="s">
        <v>2593</v>
      </c>
      <c r="M22" s="581"/>
      <c r="N22" s="581"/>
      <c r="O22" s="582"/>
      <c r="P22" s="420"/>
      <c r="S22" s="386" t="s">
        <v>24</v>
      </c>
      <c r="T22" s="387" t="str">
        <f>+IF(Worksheet!$O22="V","fabric verticle",IF(Worksheet!$O22="RR","fabric Railroad",0))</f>
        <v>fabric verticle</v>
      </c>
      <c r="U22" s="594" t="s">
        <v>25</v>
      </c>
      <c r="V22" s="595"/>
      <c r="W22" s="596"/>
      <c r="X22" s="388" t="str">
        <f>+IF(Worksheet!$J22&gt;0,Worksheet!$J22,"NO")</f>
        <v>NO</v>
      </c>
      <c r="Z22" s="377"/>
      <c r="AA22" s="389"/>
      <c r="AB22" s="580" t="s">
        <v>2593</v>
      </c>
      <c r="AC22" s="581"/>
      <c r="AD22" s="581"/>
      <c r="AE22" s="582"/>
      <c r="AF22" s="420"/>
      <c r="AI22" s="386" t="s">
        <v>24</v>
      </c>
      <c r="AJ22" s="387">
        <f>+IF(Worksheet!$O27="V","fabric verticle",IF(Worksheet!$O27="RR","fabric Railroad",0))</f>
        <v>0</v>
      </c>
      <c r="AK22" s="594" t="s">
        <v>25</v>
      </c>
      <c r="AL22" s="595"/>
      <c r="AM22" s="596"/>
      <c r="AN22" s="388" t="str">
        <f>+IF(Worksheet!$J27&gt;0,Worksheet!$J27,"NO")</f>
        <v>NO</v>
      </c>
      <c r="AP22" s="377"/>
      <c r="AQ22" s="389"/>
      <c r="AR22" s="580" t="s">
        <v>2593</v>
      </c>
      <c r="AS22" s="581"/>
      <c r="AT22" s="581"/>
      <c r="AU22" s="582"/>
      <c r="AV22" s="420"/>
      <c r="AY22" s="386" t="s">
        <v>24</v>
      </c>
      <c r="AZ22" s="387">
        <f>+IF(Worksheet!$O32="V","fabric verticle",IF(Worksheet!$O32="RR","fabric Railroad",0))</f>
        <v>0</v>
      </c>
      <c r="BA22" s="594" t="s">
        <v>25</v>
      </c>
      <c r="BB22" s="595"/>
      <c r="BC22" s="596"/>
      <c r="BD22" s="388" t="str">
        <f>+IF(Worksheet!$J32&gt;0,Worksheet!$J32,"NO")</f>
        <v>NO</v>
      </c>
      <c r="BF22" s="377"/>
      <c r="BG22" s="389"/>
      <c r="BH22" s="580" t="s">
        <v>2593</v>
      </c>
      <c r="BI22" s="581"/>
      <c r="BJ22" s="581"/>
      <c r="BK22" s="582"/>
      <c r="BL22" s="420"/>
      <c r="BO22" s="386" t="s">
        <v>24</v>
      </c>
      <c r="BP22" s="387">
        <f>+IF(Worksheet!$O37="V","fabric verticle",IF(Worksheet!$O37="RR","fabric Railroad",0))</f>
        <v>0</v>
      </c>
      <c r="BQ22" s="594" t="s">
        <v>25</v>
      </c>
      <c r="BR22" s="595"/>
      <c r="BS22" s="596"/>
      <c r="BT22" s="388" t="str">
        <f>+IF(Worksheet!$J37&gt;0,Worksheet!$J37,"NO")</f>
        <v>NO</v>
      </c>
      <c r="BV22" s="377"/>
      <c r="BW22" s="389"/>
      <c r="BX22" s="580" t="s">
        <v>2593</v>
      </c>
      <c r="BY22" s="581"/>
      <c r="BZ22" s="581"/>
      <c r="CA22" s="582"/>
    </row>
    <row r="23" spans="1:79" s="391" customFormat="1" ht="20.100000000000001" customHeight="1" x14ac:dyDescent="0.3">
      <c r="A23" s="352"/>
      <c r="B23" s="352"/>
      <c r="C23" s="585">
        <f>+Worksheet!$N17</f>
        <v>0</v>
      </c>
      <c r="D23" s="586"/>
      <c r="E23" s="587" t="s">
        <v>26</v>
      </c>
      <c r="F23" s="588"/>
      <c r="G23" s="589"/>
      <c r="H23" s="390" t="str">
        <f>+Worksheet!$L17</f>
        <v>seamed</v>
      </c>
      <c r="J23" s="590"/>
      <c r="K23" s="591"/>
      <c r="L23" s="581"/>
      <c r="M23" s="581"/>
      <c r="N23" s="581"/>
      <c r="O23" s="582"/>
      <c r="P23" s="420"/>
      <c r="Q23" s="352"/>
      <c r="R23" s="352"/>
      <c r="S23" s="585" t="str">
        <f>+Worksheet!$N22</f>
        <v>SAVE RODS</v>
      </c>
      <c r="T23" s="586"/>
      <c r="U23" s="587" t="s">
        <v>26</v>
      </c>
      <c r="V23" s="588"/>
      <c r="W23" s="589"/>
      <c r="X23" s="390" t="str">
        <f>+Worksheet!$L22</f>
        <v>seamed</v>
      </c>
      <c r="Z23" s="590"/>
      <c r="AA23" s="591"/>
      <c r="AB23" s="581"/>
      <c r="AC23" s="581"/>
      <c r="AD23" s="581"/>
      <c r="AE23" s="582"/>
      <c r="AF23" s="420"/>
      <c r="AG23" s="352"/>
      <c r="AH23" s="352"/>
      <c r="AI23" s="585">
        <f>+Worksheet!$N27</f>
        <v>0</v>
      </c>
      <c r="AJ23" s="586"/>
      <c r="AK23" s="587" t="s">
        <v>26</v>
      </c>
      <c r="AL23" s="588"/>
      <c r="AM23" s="589"/>
      <c r="AN23" s="390">
        <f>+Worksheet!$L27</f>
        <v>0</v>
      </c>
      <c r="AP23" s="590"/>
      <c r="AQ23" s="591"/>
      <c r="AR23" s="581"/>
      <c r="AS23" s="581"/>
      <c r="AT23" s="581"/>
      <c r="AU23" s="582"/>
      <c r="AV23" s="420"/>
      <c r="AW23" s="352"/>
      <c r="AX23" s="352"/>
      <c r="AY23" s="585">
        <f>+Worksheet!$N32</f>
        <v>0</v>
      </c>
      <c r="AZ23" s="586"/>
      <c r="BA23" s="587" t="s">
        <v>26</v>
      </c>
      <c r="BB23" s="588"/>
      <c r="BC23" s="589"/>
      <c r="BD23" s="390">
        <f>+Worksheet!$L32</f>
        <v>0</v>
      </c>
      <c r="BF23" s="590"/>
      <c r="BG23" s="591"/>
      <c r="BH23" s="581"/>
      <c r="BI23" s="581"/>
      <c r="BJ23" s="581"/>
      <c r="BK23" s="582"/>
      <c r="BL23" s="420"/>
      <c r="BM23" s="352"/>
      <c r="BN23" s="352"/>
      <c r="BO23" s="585">
        <f>+Worksheet!$N37</f>
        <v>0</v>
      </c>
      <c r="BP23" s="586"/>
      <c r="BQ23" s="587" t="s">
        <v>26</v>
      </c>
      <c r="BR23" s="588"/>
      <c r="BS23" s="589"/>
      <c r="BT23" s="390">
        <f>+Worksheet!$L37</f>
        <v>0</v>
      </c>
      <c r="BV23" s="590"/>
      <c r="BW23" s="591"/>
      <c r="BX23" s="581"/>
      <c r="BY23" s="581"/>
      <c r="BZ23" s="581"/>
      <c r="CA23" s="582"/>
    </row>
    <row r="24" spans="1:79" ht="20.100000000000001" customHeight="1" x14ac:dyDescent="0.35">
      <c r="C24" s="392" t="s">
        <v>20</v>
      </c>
      <c r="D24" s="393" t="s">
        <v>27</v>
      </c>
      <c r="E24" s="594" t="s">
        <v>28</v>
      </c>
      <c r="F24" s="595"/>
      <c r="G24" s="596"/>
      <c r="H24" s="394" t="str">
        <f>+IF(Worksheet!$K17&gt;0,Worksheet!$K17,"NO facia")</f>
        <v>White</v>
      </c>
      <c r="J24" s="392" t="s">
        <v>20</v>
      </c>
      <c r="K24" s="393" t="s">
        <v>27</v>
      </c>
      <c r="L24" s="581"/>
      <c r="M24" s="581"/>
      <c r="N24" s="581"/>
      <c r="O24" s="582"/>
      <c r="P24" s="420"/>
      <c r="S24" s="392" t="s">
        <v>20</v>
      </c>
      <c r="T24" s="393" t="s">
        <v>27</v>
      </c>
      <c r="U24" s="594" t="s">
        <v>28</v>
      </c>
      <c r="V24" s="595"/>
      <c r="W24" s="596"/>
      <c r="X24" s="394" t="str">
        <f>+IF(Worksheet!$K22&gt;0,Worksheet!$K22,"NO facia")</f>
        <v>White</v>
      </c>
      <c r="Z24" s="392" t="s">
        <v>20</v>
      </c>
      <c r="AA24" s="393" t="s">
        <v>27</v>
      </c>
      <c r="AB24" s="581"/>
      <c r="AC24" s="581"/>
      <c r="AD24" s="581"/>
      <c r="AE24" s="582"/>
      <c r="AF24" s="420"/>
      <c r="AI24" s="392" t="s">
        <v>20</v>
      </c>
      <c r="AJ24" s="393" t="s">
        <v>27</v>
      </c>
      <c r="AK24" s="594" t="s">
        <v>28</v>
      </c>
      <c r="AL24" s="595"/>
      <c r="AM24" s="596"/>
      <c r="AN24" s="394" t="str">
        <f>+IF(Worksheet!$K27&gt;0,Worksheet!$K27,"NO facia")</f>
        <v>NO facia</v>
      </c>
      <c r="AP24" s="392" t="s">
        <v>20</v>
      </c>
      <c r="AQ24" s="393" t="s">
        <v>27</v>
      </c>
      <c r="AR24" s="581"/>
      <c r="AS24" s="581"/>
      <c r="AT24" s="581"/>
      <c r="AU24" s="582"/>
      <c r="AV24" s="420"/>
      <c r="AY24" s="392" t="s">
        <v>20</v>
      </c>
      <c r="AZ24" s="393" t="s">
        <v>27</v>
      </c>
      <c r="BA24" s="594" t="s">
        <v>28</v>
      </c>
      <c r="BB24" s="595"/>
      <c r="BC24" s="596"/>
      <c r="BD24" s="394" t="str">
        <f>+IF(Worksheet!$K32&gt;0,Worksheet!$K32,"NO facia")</f>
        <v>NO facia</v>
      </c>
      <c r="BF24" s="392" t="s">
        <v>20</v>
      </c>
      <c r="BG24" s="393" t="s">
        <v>27</v>
      </c>
      <c r="BH24" s="581"/>
      <c r="BI24" s="581"/>
      <c r="BJ24" s="581"/>
      <c r="BK24" s="582"/>
      <c r="BL24" s="420"/>
      <c r="BO24" s="392" t="s">
        <v>20</v>
      </c>
      <c r="BP24" s="393" t="s">
        <v>27</v>
      </c>
      <c r="BQ24" s="594" t="s">
        <v>28</v>
      </c>
      <c r="BR24" s="595"/>
      <c r="BS24" s="596"/>
      <c r="BT24" s="394" t="str">
        <f>+IF(Worksheet!$K37&gt;0,Worksheet!$K37,"NO facia")</f>
        <v>NO facia</v>
      </c>
      <c r="BV24" s="392" t="s">
        <v>20</v>
      </c>
      <c r="BW24" s="393" t="s">
        <v>27</v>
      </c>
      <c r="BX24" s="581"/>
      <c r="BY24" s="581"/>
      <c r="BZ24" s="581"/>
      <c r="CA24" s="582"/>
    </row>
    <row r="25" spans="1:79" ht="29.1" customHeight="1" x14ac:dyDescent="0.6">
      <c r="C25" s="395">
        <f>Worksheet!$AH17</f>
        <v>44.375</v>
      </c>
      <c r="D25" s="396">
        <f>ROUND(+F20+12,0)</f>
        <v>115</v>
      </c>
      <c r="E25" s="597" t="s">
        <v>29</v>
      </c>
      <c r="F25" s="598"/>
      <c r="G25" s="599"/>
      <c r="H25" s="394" t="str">
        <f>+IF(Worksheet!$K17&gt;0,"facia brkts","reg. brkts")</f>
        <v>facia brkts</v>
      </c>
      <c r="J25" s="395">
        <f>C25</f>
        <v>44.375</v>
      </c>
      <c r="K25" s="396">
        <f>D25</f>
        <v>115</v>
      </c>
      <c r="L25" s="583"/>
      <c r="M25" s="583"/>
      <c r="N25" s="583"/>
      <c r="O25" s="584"/>
      <c r="P25" s="420"/>
      <c r="S25" s="395">
        <f>Worksheet!$AH22</f>
        <v>34.875</v>
      </c>
      <c r="T25" s="396">
        <f>ROUND(+V20+12,0)</f>
        <v>76</v>
      </c>
      <c r="U25" s="597" t="s">
        <v>29</v>
      </c>
      <c r="V25" s="598"/>
      <c r="W25" s="599"/>
      <c r="X25" s="394" t="str">
        <f>+IF(Worksheet!$K22&gt;0,"facia brkts","reg. brkts")</f>
        <v>facia brkts</v>
      </c>
      <c r="Z25" s="395">
        <f>S25</f>
        <v>34.875</v>
      </c>
      <c r="AA25" s="396">
        <f>T25</f>
        <v>76</v>
      </c>
      <c r="AB25" s="583"/>
      <c r="AC25" s="583"/>
      <c r="AD25" s="583"/>
      <c r="AE25" s="584"/>
      <c r="AF25" s="420"/>
      <c r="AI25" s="395">
        <f>Worksheet!$AH27</f>
        <v>-1.375</v>
      </c>
      <c r="AJ25" s="396">
        <f>ROUND(+AL20+12,0)</f>
        <v>12</v>
      </c>
      <c r="AK25" s="597" t="s">
        <v>29</v>
      </c>
      <c r="AL25" s="598"/>
      <c r="AM25" s="599"/>
      <c r="AN25" s="394" t="str">
        <f>+IF(Worksheet!$K27&gt;0,"facia brkts","reg. brkts")</f>
        <v>reg. brkts</v>
      </c>
      <c r="AP25" s="395">
        <f>AI25</f>
        <v>-1.375</v>
      </c>
      <c r="AQ25" s="396">
        <f>AJ25</f>
        <v>12</v>
      </c>
      <c r="AR25" s="583"/>
      <c r="AS25" s="583"/>
      <c r="AT25" s="583"/>
      <c r="AU25" s="584"/>
      <c r="AV25" s="420"/>
      <c r="AY25" s="395">
        <f>Worksheet!$AH32</f>
        <v>-1.375</v>
      </c>
      <c r="AZ25" s="396">
        <f>ROUND(+BB20+12,0)</f>
        <v>12</v>
      </c>
      <c r="BA25" s="597" t="s">
        <v>29</v>
      </c>
      <c r="BB25" s="598"/>
      <c r="BC25" s="599"/>
      <c r="BD25" s="394" t="str">
        <f>+IF(Worksheet!$K32&gt;0,"facia brkts","reg. brkts")</f>
        <v>reg. brkts</v>
      </c>
      <c r="BF25" s="395">
        <f>AY25</f>
        <v>-1.375</v>
      </c>
      <c r="BG25" s="396">
        <f>AZ25</f>
        <v>12</v>
      </c>
      <c r="BH25" s="583"/>
      <c r="BI25" s="583"/>
      <c r="BJ25" s="583"/>
      <c r="BK25" s="584"/>
      <c r="BL25" s="420"/>
      <c r="BO25" s="395">
        <f>Worksheet!$AH37</f>
        <v>-1.375</v>
      </c>
      <c r="BP25" s="396">
        <f>ROUND(+BR20+12,0)</f>
        <v>12</v>
      </c>
      <c r="BQ25" s="597" t="s">
        <v>29</v>
      </c>
      <c r="BR25" s="598"/>
      <c r="BS25" s="599"/>
      <c r="BT25" s="394" t="str">
        <f>+IF(Worksheet!$K37&gt;0,"facia brkts","reg. brkts")</f>
        <v>reg. brkts</v>
      </c>
      <c r="BV25" s="395">
        <f>BO25</f>
        <v>-1.375</v>
      </c>
      <c r="BW25" s="396">
        <f>BP25</f>
        <v>12</v>
      </c>
      <c r="BX25" s="583"/>
      <c r="BY25" s="583"/>
      <c r="BZ25" s="583"/>
      <c r="CA25" s="584"/>
    </row>
    <row r="26" spans="1:79" ht="30" customHeight="1" thickBot="1" x14ac:dyDescent="0.65">
      <c r="A26" s="352" t="s">
        <v>81</v>
      </c>
      <c r="C26" s="397"/>
      <c r="D26" s="398" t="str">
        <f>+IF($C20&gt;0,"ROLLERSHADE","do not use")</f>
        <v>ROLLERSHADE</v>
      </c>
      <c r="E26" s="399"/>
      <c r="F26" s="399"/>
      <c r="G26" s="399"/>
      <c r="H26" s="400"/>
      <c r="J26" s="401"/>
      <c r="K26" s="398" t="str">
        <f>+IF(C20&gt;0,"TUBE SIZE","do not use")</f>
        <v>TUBE SIZE</v>
      </c>
      <c r="L26" s="399"/>
      <c r="M26" s="408" t="str">
        <f>IF(K26="TUBE SIZE",C20,IF(Worksheet!E28="Fabric ONLY","Fabric ONLY"," "))</f>
        <v>Tube 2.375</v>
      </c>
      <c r="N26" s="399"/>
      <c r="O26" s="400"/>
      <c r="P26" s="384"/>
      <c r="S26" s="397"/>
      <c r="T26" s="398" t="str">
        <f>+IF($T20&gt;0,"ROLLERSHADE","do not use")</f>
        <v>ROLLERSHADE</v>
      </c>
      <c r="U26" s="399"/>
      <c r="V26" s="399"/>
      <c r="W26" s="399"/>
      <c r="X26" s="400"/>
      <c r="Z26" s="401"/>
      <c r="AA26" s="398" t="str">
        <f>+IF(S20&gt;0,"TUBE SIZE","do not use")</f>
        <v>TUBE SIZE</v>
      </c>
      <c r="AB26" s="399"/>
      <c r="AC26" s="408" t="str">
        <f>IF(AA26="TUBE SIZE",S20,IF(Worksheet!U28="Fabric ONLY","Fabric ONLY"," "))</f>
        <v>Tube 1.5</v>
      </c>
      <c r="AD26" s="399"/>
      <c r="AE26" s="400"/>
      <c r="AF26" s="384"/>
      <c r="AI26" s="397"/>
      <c r="AJ26" s="398" t="str">
        <f>+IF($AI20&gt;0,"ROLLERSHADE","do not use")</f>
        <v>do not use</v>
      </c>
      <c r="AK26" s="399"/>
      <c r="AL26" s="399"/>
      <c r="AM26" s="399"/>
      <c r="AN26" s="400"/>
      <c r="AP26" s="401"/>
      <c r="AQ26" s="398" t="str">
        <f>+IF(AI20&gt;0,"TUBE SIZE","do not use")</f>
        <v>do not use</v>
      </c>
      <c r="AR26" s="399"/>
      <c r="AS26" s="408" t="str">
        <f>IF(AQ26="TUBE SIZE",AI20,IF(Worksheet!AR28="Fabric ONLY","Fabric ONLY"," "))</f>
        <v xml:space="preserve"> </v>
      </c>
      <c r="AT26" s="399"/>
      <c r="AU26" s="400"/>
      <c r="AV26" s="384"/>
      <c r="AY26" s="397"/>
      <c r="AZ26" s="398" t="str">
        <f>+IF($AY20&gt;0,"ROLLERSHADE","do not use")</f>
        <v>do not use</v>
      </c>
      <c r="BA26" s="399"/>
      <c r="BB26" s="399"/>
      <c r="BC26" s="399"/>
      <c r="BD26" s="400"/>
      <c r="BF26" s="401"/>
      <c r="BG26" s="398" t="str">
        <f>+IF(AY20&gt;0,"TUBE SIZE","do not use")</f>
        <v>do not use</v>
      </c>
      <c r="BH26" s="399"/>
      <c r="BI26" s="408" t="str">
        <f>IF(BG26="TUBE SIZE",AY20,IF(Worksheet!BH28="Fabric ONLY","Fabric ONLY"," "))</f>
        <v xml:space="preserve"> </v>
      </c>
      <c r="BJ26" s="399"/>
      <c r="BK26" s="400"/>
      <c r="BL26" s="384"/>
      <c r="BO26" s="397"/>
      <c r="BP26" s="398" t="str">
        <f>+IF($BO20&gt;0,"ROLLERSHADE","do not use")</f>
        <v>do not use</v>
      </c>
      <c r="BQ26" s="399"/>
      <c r="BR26" s="399"/>
      <c r="BS26" s="399"/>
      <c r="BT26" s="400"/>
      <c r="BV26" s="401"/>
      <c r="BW26" s="398" t="str">
        <f>+IF(BO20&gt;0,"TUBE SIZE","do not use")</f>
        <v>do not use</v>
      </c>
      <c r="BX26" s="399"/>
      <c r="BY26" s="408" t="str">
        <f>IF(BW26="TUBE SIZE",BO20,IF(Worksheet!BX28="Fabric ONLY","Fabric ONLY"," "))</f>
        <v xml:space="preserve"> </v>
      </c>
      <c r="BZ26" s="399"/>
      <c r="CA26" s="400"/>
    </row>
    <row r="27" spans="1:79" ht="57.75" customHeight="1" thickBot="1" x14ac:dyDescent="0.65">
      <c r="C27" s="404"/>
      <c r="D27" s="405"/>
      <c r="E27" s="384"/>
      <c r="F27" s="384"/>
      <c r="G27" s="384"/>
      <c r="H27" s="384"/>
      <c r="J27" s="402"/>
      <c r="K27" s="403"/>
      <c r="S27" s="404"/>
      <c r="T27" s="405"/>
      <c r="U27" s="384"/>
      <c r="V27" s="384"/>
      <c r="W27" s="384"/>
      <c r="X27" s="384"/>
      <c r="Z27" s="402"/>
      <c r="AA27" s="403"/>
      <c r="AI27" s="404"/>
      <c r="AJ27" s="405"/>
      <c r="AK27" s="384"/>
      <c r="AL27" s="384"/>
      <c r="AM27" s="384"/>
      <c r="AN27" s="384"/>
      <c r="AP27" s="402"/>
      <c r="AQ27" s="403"/>
      <c r="AY27" s="404"/>
      <c r="AZ27" s="405"/>
      <c r="BA27" s="384"/>
      <c r="BB27" s="384"/>
      <c r="BC27" s="384"/>
      <c r="BD27" s="384"/>
      <c r="BF27" s="402"/>
      <c r="BG27" s="403"/>
      <c r="BO27" s="404"/>
      <c r="BP27" s="405"/>
      <c r="BQ27" s="384"/>
      <c r="BR27" s="384"/>
      <c r="BS27" s="384"/>
      <c r="BT27" s="384"/>
      <c r="BV27" s="402"/>
      <c r="BW27" s="403"/>
    </row>
    <row r="28" spans="1:79" ht="20.100000000000001" customHeight="1" thickBot="1" x14ac:dyDescent="0.7">
      <c r="A28" s="352" t="s">
        <v>2482</v>
      </c>
      <c r="B28" s="352" t="s">
        <v>2483</v>
      </c>
      <c r="C28" s="359" t="s">
        <v>21</v>
      </c>
      <c r="D28" s="564">
        <f>+jobnumber</f>
        <v>33303</v>
      </c>
      <c r="E28" s="565"/>
      <c r="F28" s="565"/>
      <c r="G28" s="566"/>
      <c r="H28" s="567" t="str">
        <f>+Worksheet!$B18</f>
        <v>P1-RS3</v>
      </c>
      <c r="J28" s="359" t="s">
        <v>21</v>
      </c>
      <c r="K28" s="360">
        <f>+jobnumber</f>
        <v>33303</v>
      </c>
      <c r="L28" s="361"/>
      <c r="M28" s="361"/>
      <c r="N28" s="361"/>
      <c r="O28" s="567" t="str">
        <f>+H28</f>
        <v>P1-RS3</v>
      </c>
      <c r="P28" s="362"/>
      <c r="Q28" s="352" t="s">
        <v>55</v>
      </c>
      <c r="R28" s="352" t="s">
        <v>2488</v>
      </c>
      <c r="S28" s="359" t="s">
        <v>21</v>
      </c>
      <c r="T28" s="564">
        <f>+jobnumber</f>
        <v>33303</v>
      </c>
      <c r="U28" s="565"/>
      <c r="V28" s="565"/>
      <c r="W28" s="566"/>
      <c r="X28" s="567" t="str">
        <f>+Worksheet!$B23</f>
        <v>P1-RS8</v>
      </c>
      <c r="Z28" s="359" t="s">
        <v>21</v>
      </c>
      <c r="AA28" s="360">
        <f>+jobnumber</f>
        <v>33303</v>
      </c>
      <c r="AB28" s="361"/>
      <c r="AC28" s="361"/>
      <c r="AD28" s="361"/>
      <c r="AE28" s="567" t="str">
        <f>+X28</f>
        <v>P1-RS8</v>
      </c>
      <c r="AF28" s="362"/>
      <c r="AG28" s="352" t="s">
        <v>61</v>
      </c>
      <c r="AH28" s="352" t="s">
        <v>2493</v>
      </c>
      <c r="AI28" s="359" t="s">
        <v>21</v>
      </c>
      <c r="AJ28" s="564">
        <f>+jobnumber</f>
        <v>33303</v>
      </c>
      <c r="AK28" s="565"/>
      <c r="AL28" s="565"/>
      <c r="AM28" s="566"/>
      <c r="AN28" s="567" t="str">
        <f>+Worksheet!$B28</f>
        <v>P1-RS13</v>
      </c>
      <c r="AP28" s="359" t="s">
        <v>21</v>
      </c>
      <c r="AQ28" s="360">
        <f>+jobnumber</f>
        <v>33303</v>
      </c>
      <c r="AR28" s="361"/>
      <c r="AS28" s="361"/>
      <c r="AT28" s="361"/>
      <c r="AU28" s="567" t="str">
        <f>+AN28</f>
        <v>P1-RS13</v>
      </c>
      <c r="AV28" s="362"/>
      <c r="AW28" s="352" t="s">
        <v>66</v>
      </c>
      <c r="AX28" s="352" t="s">
        <v>2498</v>
      </c>
      <c r="AY28" s="359" t="s">
        <v>21</v>
      </c>
      <c r="AZ28" s="564">
        <f>+jobnumber</f>
        <v>33303</v>
      </c>
      <c r="BA28" s="565"/>
      <c r="BB28" s="565"/>
      <c r="BC28" s="566"/>
      <c r="BD28" s="567" t="str">
        <f>+Worksheet!$B33</f>
        <v>P1-RS18</v>
      </c>
      <c r="BF28" s="359" t="s">
        <v>21</v>
      </c>
      <c r="BG28" s="360">
        <f>+jobnumber</f>
        <v>33303</v>
      </c>
      <c r="BH28" s="361"/>
      <c r="BI28" s="361"/>
      <c r="BJ28" s="361"/>
      <c r="BK28" s="567" t="str">
        <f>+BD28</f>
        <v>P1-RS18</v>
      </c>
      <c r="BL28" s="362"/>
      <c r="BM28" s="352" t="s">
        <v>179</v>
      </c>
      <c r="BN28" s="352" t="s">
        <v>2503</v>
      </c>
      <c r="BO28" s="359" t="s">
        <v>21</v>
      </c>
      <c r="BP28" s="564">
        <f>+jobnumber</f>
        <v>33303</v>
      </c>
      <c r="BQ28" s="565"/>
      <c r="BR28" s="565"/>
      <c r="BS28" s="566"/>
      <c r="BT28" s="567" t="str">
        <f>+Worksheet!$B38</f>
        <v>P1-RS23</v>
      </c>
      <c r="BV28" s="359" t="s">
        <v>21</v>
      </c>
      <c r="BW28" s="360">
        <f>+jobnumber</f>
        <v>33303</v>
      </c>
      <c r="BX28" s="361"/>
      <c r="BY28" s="361"/>
      <c r="BZ28" s="361"/>
      <c r="CA28" s="567" t="str">
        <f>+BT28</f>
        <v>P1-RS23</v>
      </c>
    </row>
    <row r="29" spans="1:79" ht="20.100000000000001" customHeight="1" thickBot="1" x14ac:dyDescent="0.7">
      <c r="C29" s="363" t="s">
        <v>2626</v>
      </c>
      <c r="D29" s="569" t="str">
        <f>+_xlfn.SINGLE(bill_name)</f>
        <v>JLL</v>
      </c>
      <c r="E29" s="570"/>
      <c r="F29" s="570"/>
      <c r="G29" s="571"/>
      <c r="H29" s="568"/>
      <c r="J29" s="365" t="s">
        <v>22</v>
      </c>
      <c r="K29" s="366" t="str">
        <f>+_xlfn.SINGLE(bill_name)</f>
        <v>JLL</v>
      </c>
      <c r="L29" s="367"/>
      <c r="M29" s="367"/>
      <c r="N29" s="367"/>
      <c r="O29" s="568"/>
      <c r="P29" s="362"/>
      <c r="S29" s="363" t="s">
        <v>2626</v>
      </c>
      <c r="T29" s="569" t="str">
        <f>+_xlfn.SINGLE(bill_name)</f>
        <v>JLL</v>
      </c>
      <c r="U29" s="570"/>
      <c r="V29" s="570"/>
      <c r="W29" s="571"/>
      <c r="X29" s="568"/>
      <c r="Z29" s="365" t="s">
        <v>22</v>
      </c>
      <c r="AA29" s="366" t="str">
        <f>+_xlfn.SINGLE(bill_name)</f>
        <v>JLL</v>
      </c>
      <c r="AB29" s="367"/>
      <c r="AC29" s="367"/>
      <c r="AD29" s="367"/>
      <c r="AE29" s="568"/>
      <c r="AF29" s="362"/>
      <c r="AI29" s="363" t="s">
        <v>2626</v>
      </c>
      <c r="AJ29" s="569" t="str">
        <f>+_xlfn.SINGLE(bill_name)</f>
        <v>JLL</v>
      </c>
      <c r="AK29" s="570"/>
      <c r="AL29" s="570"/>
      <c r="AM29" s="571"/>
      <c r="AN29" s="568"/>
      <c r="AP29" s="365" t="s">
        <v>22</v>
      </c>
      <c r="AQ29" s="366" t="str">
        <f>+_xlfn.SINGLE(bill_name)</f>
        <v>JLL</v>
      </c>
      <c r="AR29" s="367"/>
      <c r="AS29" s="367"/>
      <c r="AT29" s="367"/>
      <c r="AU29" s="568"/>
      <c r="AV29" s="362"/>
      <c r="AY29" s="363" t="s">
        <v>2626</v>
      </c>
      <c r="AZ29" s="569" t="str">
        <f>+_xlfn.SINGLE(bill_name)</f>
        <v>JLL</v>
      </c>
      <c r="BA29" s="570"/>
      <c r="BB29" s="570"/>
      <c r="BC29" s="571"/>
      <c r="BD29" s="568"/>
      <c r="BF29" s="365" t="s">
        <v>22</v>
      </c>
      <c r="BG29" s="366" t="str">
        <f>+_xlfn.SINGLE(bill_name)</f>
        <v>JLL</v>
      </c>
      <c r="BH29" s="367"/>
      <c r="BI29" s="367"/>
      <c r="BJ29" s="367"/>
      <c r="BK29" s="568"/>
      <c r="BL29" s="362"/>
      <c r="BO29" s="363" t="s">
        <v>2626</v>
      </c>
      <c r="BP29" s="569" t="str">
        <f>+_xlfn.SINGLE(bill_name)</f>
        <v>JLL</v>
      </c>
      <c r="BQ29" s="570"/>
      <c r="BR29" s="570"/>
      <c r="BS29" s="571"/>
      <c r="BT29" s="568"/>
      <c r="BV29" s="365" t="s">
        <v>22</v>
      </c>
      <c r="BW29" s="366" t="str">
        <f>+_xlfn.SINGLE(bill_name)</f>
        <v>JLL</v>
      </c>
      <c r="BX29" s="367"/>
      <c r="BY29" s="367"/>
      <c r="BZ29" s="367"/>
      <c r="CA29" s="568"/>
    </row>
    <row r="30" spans="1:79" s="364" customFormat="1" ht="20.100000000000001" customHeight="1" x14ac:dyDescent="0.4">
      <c r="A30" s="352"/>
      <c r="B30" s="352"/>
      <c r="C30" s="368" t="s">
        <v>2627</v>
      </c>
      <c r="D30" s="572" t="str">
        <f>+jobname</f>
        <v>Cottonwood Creek WO#I5187109-00104</v>
      </c>
      <c r="E30" s="573"/>
      <c r="F30" s="573"/>
      <c r="G30" s="573"/>
      <c r="H30" s="574"/>
      <c r="J30" s="369" t="s">
        <v>78</v>
      </c>
      <c r="K30" s="577" t="str">
        <f>+jobname</f>
        <v>Cottonwood Creek WO#I5187109-00104</v>
      </c>
      <c r="L30" s="578"/>
      <c r="M30" s="578"/>
      <c r="N30" s="578"/>
      <c r="O30" s="579"/>
      <c r="P30" s="373"/>
      <c r="Q30" s="352"/>
      <c r="R30" s="352"/>
      <c r="S30" s="368" t="s">
        <v>2627</v>
      </c>
      <c r="T30" s="572" t="str">
        <f>+jobname</f>
        <v>Cottonwood Creek WO#I5187109-00104</v>
      </c>
      <c r="U30" s="573"/>
      <c r="V30" s="573"/>
      <c r="W30" s="573"/>
      <c r="X30" s="574"/>
      <c r="Z30" s="369" t="s">
        <v>78</v>
      </c>
      <c r="AA30" s="370" t="str">
        <f>+jobname</f>
        <v>Cottonwood Creek WO#I5187109-00104</v>
      </c>
      <c r="AB30" s="371"/>
      <c r="AC30" s="371"/>
      <c r="AD30" s="371"/>
      <c r="AE30" s="372"/>
      <c r="AF30" s="373"/>
      <c r="AG30" s="352"/>
      <c r="AH30" s="352"/>
      <c r="AI30" s="368" t="s">
        <v>2627</v>
      </c>
      <c r="AJ30" s="572" t="str">
        <f>+jobname</f>
        <v>Cottonwood Creek WO#I5187109-00104</v>
      </c>
      <c r="AK30" s="573"/>
      <c r="AL30" s="573"/>
      <c r="AM30" s="573"/>
      <c r="AN30" s="574"/>
      <c r="AP30" s="369" t="s">
        <v>78</v>
      </c>
      <c r="AQ30" s="370" t="str">
        <f>+jobname</f>
        <v>Cottonwood Creek WO#I5187109-00104</v>
      </c>
      <c r="AR30" s="371"/>
      <c r="AS30" s="371"/>
      <c r="AT30" s="371"/>
      <c r="AU30" s="372"/>
      <c r="AV30" s="373"/>
      <c r="AW30" s="352"/>
      <c r="AX30" s="352"/>
      <c r="AY30" s="368" t="s">
        <v>2627</v>
      </c>
      <c r="AZ30" s="572" t="str">
        <f>+jobname</f>
        <v>Cottonwood Creek WO#I5187109-00104</v>
      </c>
      <c r="BA30" s="573"/>
      <c r="BB30" s="573"/>
      <c r="BC30" s="573"/>
      <c r="BD30" s="574"/>
      <c r="BF30" s="369" t="s">
        <v>78</v>
      </c>
      <c r="BG30" s="370" t="str">
        <f>+jobname</f>
        <v>Cottonwood Creek WO#I5187109-00104</v>
      </c>
      <c r="BH30" s="371"/>
      <c r="BI30" s="371"/>
      <c r="BJ30" s="371"/>
      <c r="BK30" s="372"/>
      <c r="BL30" s="373"/>
      <c r="BM30" s="352"/>
      <c r="BN30" s="352"/>
      <c r="BO30" s="368" t="s">
        <v>2627</v>
      </c>
      <c r="BP30" s="572" t="str">
        <f>+jobname</f>
        <v>Cottonwood Creek WO#I5187109-00104</v>
      </c>
      <c r="BQ30" s="573"/>
      <c r="BR30" s="573"/>
      <c r="BS30" s="573"/>
      <c r="BT30" s="574"/>
      <c r="BV30" s="369" t="s">
        <v>78</v>
      </c>
      <c r="BW30" s="370" t="str">
        <f>+jobname</f>
        <v>Cottonwood Creek WO#I5187109-00104</v>
      </c>
      <c r="BX30" s="371"/>
      <c r="BY30" s="371"/>
      <c r="BZ30" s="371"/>
      <c r="CA30" s="372"/>
    </row>
    <row r="31" spans="1:79" s="364" customFormat="1" ht="20.100000000000001" customHeight="1" x14ac:dyDescent="0.35">
      <c r="A31" s="352"/>
      <c r="B31" s="352"/>
      <c r="C31" s="374" t="s">
        <v>23</v>
      </c>
      <c r="D31" s="575" t="str">
        <f>+Worksheet!$C18</f>
        <v>Room 103</v>
      </c>
      <c r="E31" s="576"/>
      <c r="F31" s="576"/>
      <c r="G31" s="371"/>
      <c r="H31" s="375" t="str">
        <f>+IF(Worksheet!$O$9=1,"Install",IF(Worksheet!$O$9=2,"Deliver",IF(Worksheet!$O$9=3,"Will Call",0)))</f>
        <v>Install</v>
      </c>
      <c r="J31" s="374" t="s">
        <v>23</v>
      </c>
      <c r="K31" s="373" t="str">
        <f>D31</f>
        <v>Room 103</v>
      </c>
      <c r="L31" s="371"/>
      <c r="M31" s="371"/>
      <c r="N31" s="371"/>
      <c r="O31" s="376" t="str">
        <f>H31</f>
        <v>Install</v>
      </c>
      <c r="P31" s="373"/>
      <c r="Q31" s="352"/>
      <c r="R31" s="352"/>
      <c r="S31" s="374" t="s">
        <v>23</v>
      </c>
      <c r="T31" s="575">
        <f>+Worksheet!$C23</f>
        <v>0</v>
      </c>
      <c r="U31" s="576"/>
      <c r="V31" s="576"/>
      <c r="W31" s="371"/>
      <c r="X31" s="375" t="str">
        <f>+IF(Worksheet!$O$9=1,"Install",IF(Worksheet!$O$9=2,"Deliver",IF(Worksheet!$O$9=3,"Will Call",0)))</f>
        <v>Install</v>
      </c>
      <c r="Z31" s="374" t="s">
        <v>23</v>
      </c>
      <c r="AA31" s="373">
        <f>T31</f>
        <v>0</v>
      </c>
      <c r="AB31" s="371"/>
      <c r="AC31" s="371"/>
      <c r="AD31" s="371"/>
      <c r="AE31" s="376" t="str">
        <f>X31</f>
        <v>Install</v>
      </c>
      <c r="AF31" s="373"/>
      <c r="AG31" s="352"/>
      <c r="AH31" s="352"/>
      <c r="AI31" s="374" t="s">
        <v>23</v>
      </c>
      <c r="AJ31" s="575">
        <f>+Worksheet!$C28</f>
        <v>0</v>
      </c>
      <c r="AK31" s="576"/>
      <c r="AL31" s="576"/>
      <c r="AM31" s="371"/>
      <c r="AN31" s="375" t="str">
        <f>+IF(Worksheet!$O$9=1,"Install",IF(Worksheet!$O$9=2,"Deliver",IF(Worksheet!$O$9=3,"Will Call",0)))</f>
        <v>Install</v>
      </c>
      <c r="AP31" s="374" t="s">
        <v>23</v>
      </c>
      <c r="AQ31" s="373">
        <f>AJ31</f>
        <v>0</v>
      </c>
      <c r="AR31" s="371"/>
      <c r="AS31" s="371"/>
      <c r="AT31" s="371"/>
      <c r="AU31" s="376" t="str">
        <f>AN31</f>
        <v>Install</v>
      </c>
      <c r="AV31" s="373"/>
      <c r="AW31" s="352"/>
      <c r="AX31" s="352"/>
      <c r="AY31" s="374" t="s">
        <v>23</v>
      </c>
      <c r="AZ31" s="575">
        <f>+Worksheet!$C33</f>
        <v>0</v>
      </c>
      <c r="BA31" s="576"/>
      <c r="BB31" s="576"/>
      <c r="BC31" s="371"/>
      <c r="BD31" s="375" t="str">
        <f>+IF(Worksheet!$O$9=1,"Install",IF(Worksheet!$O$9=2,"Deliver",IF(Worksheet!$O$9=3,"Will Call",0)))</f>
        <v>Install</v>
      </c>
      <c r="BF31" s="374" t="s">
        <v>23</v>
      </c>
      <c r="BG31" s="373">
        <f>AZ31</f>
        <v>0</v>
      </c>
      <c r="BH31" s="371"/>
      <c r="BI31" s="371"/>
      <c r="BJ31" s="371"/>
      <c r="BK31" s="376" t="str">
        <f>BD31</f>
        <v>Install</v>
      </c>
      <c r="BL31" s="373"/>
      <c r="BM31" s="352"/>
      <c r="BN31" s="352"/>
      <c r="BO31" s="374" t="s">
        <v>23</v>
      </c>
      <c r="BP31" s="575">
        <f>+Worksheet!$C38</f>
        <v>0</v>
      </c>
      <c r="BQ31" s="576"/>
      <c r="BR31" s="576"/>
      <c r="BS31" s="371"/>
      <c r="BT31" s="375" t="str">
        <f>+IF(Worksheet!$O$9=1,"Install",IF(Worksheet!$O$9=2,"Deliver",IF(Worksheet!$O$9=3,"Will Call",0)))</f>
        <v>Install</v>
      </c>
      <c r="BV31" s="374" t="s">
        <v>23</v>
      </c>
      <c r="BW31" s="373">
        <f>BP31</f>
        <v>0</v>
      </c>
      <c r="BX31" s="371"/>
      <c r="BY31" s="371"/>
      <c r="BZ31" s="371"/>
      <c r="CA31" s="376" t="str">
        <f>BT31</f>
        <v>Install</v>
      </c>
    </row>
    <row r="32" spans="1:79" s="364" customFormat="1" ht="20.100000000000001" customHeight="1" x14ac:dyDescent="0.35">
      <c r="A32" s="352"/>
      <c r="B32" s="352"/>
      <c r="C32" s="377" t="str">
        <f>+IF(Worksheet!$D18&gt;0,Worksheet!$E18,0)</f>
        <v>Tube 1.5</v>
      </c>
      <c r="D32" s="378">
        <f>+Worksheet!$F18</f>
        <v>36.5</v>
      </c>
      <c r="E32" s="379" t="s">
        <v>4</v>
      </c>
      <c r="F32" s="378">
        <f>+Worksheet!$H18</f>
        <v>64</v>
      </c>
      <c r="G32" s="380"/>
      <c r="H32" s="381" t="str">
        <f>+Worksheet!$I18</f>
        <v>IB</v>
      </c>
      <c r="J32" s="377"/>
      <c r="N32" s="380"/>
      <c r="O32" s="381" t="str">
        <f>H32</f>
        <v>IB</v>
      </c>
      <c r="P32" s="382"/>
      <c r="Q32" s="352"/>
      <c r="R32" s="352"/>
      <c r="S32" s="377">
        <f>+IF(Worksheet!$D23&gt;0,Worksheet!$E23,0)</f>
        <v>0</v>
      </c>
      <c r="T32" s="378">
        <f>+Worksheet!$F23</f>
        <v>0</v>
      </c>
      <c r="U32" s="379" t="s">
        <v>4</v>
      </c>
      <c r="V32" s="378">
        <f>+Worksheet!$H23</f>
        <v>0</v>
      </c>
      <c r="W32" s="380"/>
      <c r="X32" s="381">
        <f>+Worksheet!$I23</f>
        <v>0</v>
      </c>
      <c r="Z32" s="377"/>
      <c r="AD32" s="380"/>
      <c r="AE32" s="381">
        <f>X32</f>
        <v>0</v>
      </c>
      <c r="AF32" s="382"/>
      <c r="AG32" s="352"/>
      <c r="AH32" s="352"/>
      <c r="AI32" s="377">
        <f>+IF(Worksheet!$D28&gt;0,Worksheet!$E28,0)</f>
        <v>0</v>
      </c>
      <c r="AJ32" s="378">
        <f>+Worksheet!$F28</f>
        <v>0</v>
      </c>
      <c r="AK32" s="379" t="s">
        <v>4</v>
      </c>
      <c r="AL32" s="378">
        <f>+Worksheet!$H28</f>
        <v>0</v>
      </c>
      <c r="AM32" s="380"/>
      <c r="AN32" s="381">
        <f>+Worksheet!$I28</f>
        <v>0</v>
      </c>
      <c r="AP32" s="377"/>
      <c r="AT32" s="380"/>
      <c r="AU32" s="381">
        <f>AN32</f>
        <v>0</v>
      </c>
      <c r="AV32" s="382"/>
      <c r="AW32" s="352"/>
      <c r="AX32" s="352"/>
      <c r="AY32" s="377">
        <f>+IF(Worksheet!$D33&gt;0,Worksheet!$E33,0)</f>
        <v>0</v>
      </c>
      <c r="AZ32" s="378">
        <f>+Worksheet!$F33</f>
        <v>0</v>
      </c>
      <c r="BA32" s="379" t="s">
        <v>4</v>
      </c>
      <c r="BB32" s="378">
        <f>+Worksheet!$H33</f>
        <v>0</v>
      </c>
      <c r="BC32" s="380"/>
      <c r="BD32" s="381">
        <f>+Worksheet!$I33</f>
        <v>0</v>
      </c>
      <c r="BF32" s="377"/>
      <c r="BJ32" s="380"/>
      <c r="BK32" s="381">
        <f>BD32</f>
        <v>0</v>
      </c>
      <c r="BL32" s="382"/>
      <c r="BM32" s="352"/>
      <c r="BN32" s="352"/>
      <c r="BO32" s="377">
        <f>+IF(Worksheet!$D38&gt;0,Worksheet!$E38,0)</f>
        <v>0</v>
      </c>
      <c r="BP32" s="378">
        <f>+Worksheet!$F38</f>
        <v>0</v>
      </c>
      <c r="BQ32" s="379" t="s">
        <v>4</v>
      </c>
      <c r="BR32" s="378">
        <f>+Worksheet!$H38</f>
        <v>0</v>
      </c>
      <c r="BS32" s="380"/>
      <c r="BT32" s="381">
        <f>+Worksheet!$I38</f>
        <v>0</v>
      </c>
      <c r="BV32" s="377"/>
      <c r="BZ32" s="380"/>
      <c r="CA32" s="381">
        <f>BT32</f>
        <v>0</v>
      </c>
    </row>
    <row r="33" spans="1:79" ht="20.100000000000001" customHeight="1" x14ac:dyDescent="0.35">
      <c r="C33" s="383" t="s">
        <v>19</v>
      </c>
      <c r="D33" s="592" t="str">
        <f>+Worksheet!$M18</f>
        <v>Panta Flex Linen</v>
      </c>
      <c r="E33" s="593"/>
      <c r="F33" s="593"/>
      <c r="G33" s="384"/>
      <c r="H33" s="385"/>
      <c r="J33" s="374" t="s">
        <v>2594</v>
      </c>
      <c r="K33" s="378">
        <f>D32</f>
        <v>36.5</v>
      </c>
      <c r="L33" s="378" t="str">
        <f>+E32</f>
        <v>X</v>
      </c>
      <c r="M33" s="378">
        <f>F32</f>
        <v>64</v>
      </c>
      <c r="N33" s="384"/>
      <c r="O33" s="385"/>
      <c r="P33" s="384"/>
      <c r="S33" s="383" t="s">
        <v>19</v>
      </c>
      <c r="T33" s="592">
        <f>+Worksheet!$M23</f>
        <v>0</v>
      </c>
      <c r="U33" s="593"/>
      <c r="V33" s="593"/>
      <c r="W33" s="384"/>
      <c r="X33" s="385"/>
      <c r="Z33" s="374" t="s">
        <v>2594</v>
      </c>
      <c r="AA33" s="378">
        <f>T32</f>
        <v>0</v>
      </c>
      <c r="AB33" s="378" t="str">
        <f>+U32</f>
        <v>X</v>
      </c>
      <c r="AC33" s="378">
        <f>V32</f>
        <v>0</v>
      </c>
      <c r="AD33" s="384"/>
      <c r="AE33" s="385"/>
      <c r="AF33" s="384"/>
      <c r="AI33" s="383" t="s">
        <v>19</v>
      </c>
      <c r="AJ33" s="592">
        <f>+Worksheet!$M28</f>
        <v>0</v>
      </c>
      <c r="AK33" s="593"/>
      <c r="AL33" s="593"/>
      <c r="AM33" s="384"/>
      <c r="AN33" s="385"/>
      <c r="AP33" s="374" t="s">
        <v>2594</v>
      </c>
      <c r="AQ33" s="378">
        <f>AJ32</f>
        <v>0</v>
      </c>
      <c r="AR33" s="378" t="str">
        <f>+AK32</f>
        <v>X</v>
      </c>
      <c r="AS33" s="378">
        <f>AL32</f>
        <v>0</v>
      </c>
      <c r="AT33" s="384"/>
      <c r="AU33" s="385"/>
      <c r="AV33" s="384"/>
      <c r="AY33" s="383" t="s">
        <v>19</v>
      </c>
      <c r="AZ33" s="592">
        <f>+Worksheet!$M33</f>
        <v>0</v>
      </c>
      <c r="BA33" s="593"/>
      <c r="BB33" s="593"/>
      <c r="BC33" s="384"/>
      <c r="BD33" s="385"/>
      <c r="BF33" s="374" t="s">
        <v>2594</v>
      </c>
      <c r="BG33" s="378">
        <f>AZ32</f>
        <v>0</v>
      </c>
      <c r="BH33" s="378" t="str">
        <f>+BA32</f>
        <v>X</v>
      </c>
      <c r="BI33" s="378">
        <f>BB32</f>
        <v>0</v>
      </c>
      <c r="BJ33" s="384"/>
      <c r="BK33" s="385"/>
      <c r="BL33" s="384"/>
      <c r="BO33" s="383" t="s">
        <v>19</v>
      </c>
      <c r="BP33" s="592">
        <f>+Worksheet!$M38</f>
        <v>0</v>
      </c>
      <c r="BQ33" s="593"/>
      <c r="BR33" s="593"/>
      <c r="BS33" s="384"/>
      <c r="BT33" s="385"/>
      <c r="BV33" s="374" t="s">
        <v>2594</v>
      </c>
      <c r="BW33" s="378">
        <f>BP32</f>
        <v>0</v>
      </c>
      <c r="BX33" s="378" t="str">
        <f>+BQ32</f>
        <v>X</v>
      </c>
      <c r="BY33" s="378">
        <f>BR32</f>
        <v>0</v>
      </c>
      <c r="BZ33" s="384"/>
      <c r="CA33" s="385"/>
    </row>
    <row r="34" spans="1:79" ht="20.100000000000001" customHeight="1" x14ac:dyDescent="0.35">
      <c r="C34" s="386" t="s">
        <v>24</v>
      </c>
      <c r="D34" s="387" t="str">
        <f>+IF(Worksheet!$O18="V","fabric verticle",IF(Worksheet!$O18="RR","fabric Railroad",0))</f>
        <v>fabric verticle</v>
      </c>
      <c r="E34" s="594" t="s">
        <v>25</v>
      </c>
      <c r="F34" s="595"/>
      <c r="G34" s="596"/>
      <c r="H34" s="388" t="str">
        <f>+IF(Worksheet!$J18&gt;0,Worksheet!$J18,"NO")</f>
        <v>NO</v>
      </c>
      <c r="J34" s="377"/>
      <c r="K34" s="389"/>
      <c r="L34" s="580" t="s">
        <v>2593</v>
      </c>
      <c r="M34" s="581"/>
      <c r="N34" s="581"/>
      <c r="O34" s="582"/>
      <c r="P34" s="420"/>
      <c r="S34" s="386" t="s">
        <v>24</v>
      </c>
      <c r="T34" s="387">
        <f>+IF(Worksheet!$O23="V","fabric verticle",IF(Worksheet!$O23="RR","fabric Railroad",0))</f>
        <v>0</v>
      </c>
      <c r="U34" s="594" t="s">
        <v>25</v>
      </c>
      <c r="V34" s="595"/>
      <c r="W34" s="596"/>
      <c r="X34" s="388" t="str">
        <f>+IF(Worksheet!$J23&gt;0,Worksheet!$J23,"NO")</f>
        <v>NO</v>
      </c>
      <c r="Z34" s="377"/>
      <c r="AA34" s="389"/>
      <c r="AB34" s="580" t="s">
        <v>2593</v>
      </c>
      <c r="AC34" s="581"/>
      <c r="AD34" s="581"/>
      <c r="AE34" s="582"/>
      <c r="AF34" s="420"/>
      <c r="AI34" s="386" t="s">
        <v>24</v>
      </c>
      <c r="AJ34" s="387">
        <f>+IF(Worksheet!$O28="V","fabric verticle",IF(Worksheet!$O28="RR","fabric Railroad",0))</f>
        <v>0</v>
      </c>
      <c r="AK34" s="594" t="s">
        <v>25</v>
      </c>
      <c r="AL34" s="595"/>
      <c r="AM34" s="596"/>
      <c r="AN34" s="388" t="str">
        <f>+IF(Worksheet!$J28&gt;0,Worksheet!$J28,"NO")</f>
        <v>NO</v>
      </c>
      <c r="AP34" s="377"/>
      <c r="AQ34" s="389"/>
      <c r="AR34" s="580" t="s">
        <v>2593</v>
      </c>
      <c r="AS34" s="581"/>
      <c r="AT34" s="581"/>
      <c r="AU34" s="582"/>
      <c r="AV34" s="420"/>
      <c r="AY34" s="386" t="s">
        <v>24</v>
      </c>
      <c r="AZ34" s="387">
        <f>+IF(Worksheet!$O33="V","fabric verticle",IF(Worksheet!$O33="RR","fabric Railroad",0))</f>
        <v>0</v>
      </c>
      <c r="BA34" s="594" t="s">
        <v>25</v>
      </c>
      <c r="BB34" s="595"/>
      <c r="BC34" s="596"/>
      <c r="BD34" s="388" t="str">
        <f>+IF(Worksheet!$J33&gt;0,Worksheet!$J33,"NO")</f>
        <v>NO</v>
      </c>
      <c r="BF34" s="377"/>
      <c r="BG34" s="389"/>
      <c r="BH34" s="580" t="s">
        <v>2593</v>
      </c>
      <c r="BI34" s="581"/>
      <c r="BJ34" s="581"/>
      <c r="BK34" s="582"/>
      <c r="BL34" s="420"/>
      <c r="BO34" s="386" t="s">
        <v>24</v>
      </c>
      <c r="BP34" s="387">
        <f>+IF(Worksheet!$O38="V","fabric verticle",IF(Worksheet!$O38="RR","fabric Railroad",0))</f>
        <v>0</v>
      </c>
      <c r="BQ34" s="594" t="s">
        <v>25</v>
      </c>
      <c r="BR34" s="595"/>
      <c r="BS34" s="596"/>
      <c r="BT34" s="388" t="str">
        <f>+IF(Worksheet!$J38&gt;0,Worksheet!$J38,"NO")</f>
        <v>NO</v>
      </c>
      <c r="BV34" s="377"/>
      <c r="BW34" s="389"/>
      <c r="BX34" s="580" t="s">
        <v>2593</v>
      </c>
      <c r="BY34" s="581"/>
      <c r="BZ34" s="581"/>
      <c r="CA34" s="582"/>
    </row>
    <row r="35" spans="1:79" s="391" customFormat="1" ht="20.100000000000001" customHeight="1" x14ac:dyDescent="0.3">
      <c r="A35" s="352"/>
      <c r="B35" s="352"/>
      <c r="C35" s="585" t="str">
        <f>+Worksheet!$N18</f>
        <v>SAVE RODS</v>
      </c>
      <c r="D35" s="586"/>
      <c r="E35" s="587" t="s">
        <v>26</v>
      </c>
      <c r="F35" s="588"/>
      <c r="G35" s="589"/>
      <c r="H35" s="390" t="str">
        <f>+Worksheet!$L18</f>
        <v>seamed</v>
      </c>
      <c r="J35" s="590"/>
      <c r="K35" s="591"/>
      <c r="L35" s="581"/>
      <c r="M35" s="581"/>
      <c r="N35" s="581"/>
      <c r="O35" s="582"/>
      <c r="P35" s="420"/>
      <c r="Q35" s="352"/>
      <c r="R35" s="352"/>
      <c r="S35" s="585">
        <f>+Worksheet!$N23</f>
        <v>0</v>
      </c>
      <c r="T35" s="586"/>
      <c r="U35" s="587" t="s">
        <v>26</v>
      </c>
      <c r="V35" s="588"/>
      <c r="W35" s="589"/>
      <c r="X35" s="390">
        <f>+Worksheet!$L23</f>
        <v>0</v>
      </c>
      <c r="Z35" s="590"/>
      <c r="AA35" s="591"/>
      <c r="AB35" s="581"/>
      <c r="AC35" s="581"/>
      <c r="AD35" s="581"/>
      <c r="AE35" s="582"/>
      <c r="AF35" s="420"/>
      <c r="AG35" s="352"/>
      <c r="AH35" s="352"/>
      <c r="AI35" s="585">
        <f>+Worksheet!$N28</f>
        <v>0</v>
      </c>
      <c r="AJ35" s="586"/>
      <c r="AK35" s="587" t="s">
        <v>26</v>
      </c>
      <c r="AL35" s="588"/>
      <c r="AM35" s="589"/>
      <c r="AN35" s="390">
        <f>+Worksheet!$L28</f>
        <v>0</v>
      </c>
      <c r="AP35" s="590"/>
      <c r="AQ35" s="591"/>
      <c r="AR35" s="581"/>
      <c r="AS35" s="581"/>
      <c r="AT35" s="581"/>
      <c r="AU35" s="582"/>
      <c r="AV35" s="420"/>
      <c r="AW35" s="352"/>
      <c r="AX35" s="352"/>
      <c r="AY35" s="585">
        <f>+Worksheet!$N33</f>
        <v>0</v>
      </c>
      <c r="AZ35" s="586"/>
      <c r="BA35" s="587" t="s">
        <v>26</v>
      </c>
      <c r="BB35" s="588"/>
      <c r="BC35" s="589"/>
      <c r="BD35" s="390">
        <f>+Worksheet!$L33</f>
        <v>0</v>
      </c>
      <c r="BF35" s="590"/>
      <c r="BG35" s="591"/>
      <c r="BH35" s="581"/>
      <c r="BI35" s="581"/>
      <c r="BJ35" s="581"/>
      <c r="BK35" s="582"/>
      <c r="BL35" s="420"/>
      <c r="BM35" s="352"/>
      <c r="BN35" s="352"/>
      <c r="BO35" s="585">
        <f>+Worksheet!$N38</f>
        <v>0</v>
      </c>
      <c r="BP35" s="586"/>
      <c r="BQ35" s="587" t="s">
        <v>26</v>
      </c>
      <c r="BR35" s="588"/>
      <c r="BS35" s="589"/>
      <c r="BT35" s="390">
        <f>+Worksheet!$L38</f>
        <v>0</v>
      </c>
      <c r="BV35" s="590"/>
      <c r="BW35" s="591"/>
      <c r="BX35" s="581"/>
      <c r="BY35" s="581"/>
      <c r="BZ35" s="581"/>
      <c r="CA35" s="582"/>
    </row>
    <row r="36" spans="1:79" ht="20.100000000000001" customHeight="1" x14ac:dyDescent="0.35">
      <c r="C36" s="392" t="s">
        <v>20</v>
      </c>
      <c r="D36" s="393" t="s">
        <v>27</v>
      </c>
      <c r="E36" s="594" t="s">
        <v>28</v>
      </c>
      <c r="F36" s="595"/>
      <c r="G36" s="596"/>
      <c r="H36" s="394" t="str">
        <f>+IF(Worksheet!$K18&gt;0,Worksheet!$K18,"NO facia")</f>
        <v>White</v>
      </c>
      <c r="J36" s="392" t="s">
        <v>20</v>
      </c>
      <c r="K36" s="393" t="s">
        <v>27</v>
      </c>
      <c r="L36" s="581"/>
      <c r="M36" s="581"/>
      <c r="N36" s="581"/>
      <c r="O36" s="582"/>
      <c r="P36" s="420"/>
      <c r="S36" s="392" t="s">
        <v>20</v>
      </c>
      <c r="T36" s="393" t="s">
        <v>27</v>
      </c>
      <c r="U36" s="594" t="s">
        <v>28</v>
      </c>
      <c r="V36" s="595"/>
      <c r="W36" s="596"/>
      <c r="X36" s="394" t="str">
        <f>+IF(Worksheet!$K23&gt;0,Worksheet!$K23,"NO facia")</f>
        <v>NO facia</v>
      </c>
      <c r="Z36" s="392" t="s">
        <v>20</v>
      </c>
      <c r="AA36" s="393" t="s">
        <v>27</v>
      </c>
      <c r="AB36" s="581"/>
      <c r="AC36" s="581"/>
      <c r="AD36" s="581"/>
      <c r="AE36" s="582"/>
      <c r="AF36" s="420"/>
      <c r="AI36" s="392" t="s">
        <v>20</v>
      </c>
      <c r="AJ36" s="393" t="s">
        <v>27</v>
      </c>
      <c r="AK36" s="594" t="s">
        <v>28</v>
      </c>
      <c r="AL36" s="595"/>
      <c r="AM36" s="596"/>
      <c r="AN36" s="394" t="str">
        <f>+IF(Worksheet!$K28&gt;0,Worksheet!$K28,"NO facia")</f>
        <v>NO facia</v>
      </c>
      <c r="AP36" s="392" t="s">
        <v>20</v>
      </c>
      <c r="AQ36" s="393" t="s">
        <v>27</v>
      </c>
      <c r="AR36" s="581"/>
      <c r="AS36" s="581"/>
      <c r="AT36" s="581"/>
      <c r="AU36" s="582"/>
      <c r="AV36" s="420"/>
      <c r="AY36" s="392" t="s">
        <v>20</v>
      </c>
      <c r="AZ36" s="393" t="s">
        <v>27</v>
      </c>
      <c r="BA36" s="594" t="s">
        <v>28</v>
      </c>
      <c r="BB36" s="595"/>
      <c r="BC36" s="596"/>
      <c r="BD36" s="394" t="str">
        <f>+IF(Worksheet!$K33&gt;0,Worksheet!$K33,"NO facia")</f>
        <v>NO facia</v>
      </c>
      <c r="BF36" s="392" t="s">
        <v>20</v>
      </c>
      <c r="BG36" s="393" t="s">
        <v>27</v>
      </c>
      <c r="BH36" s="581"/>
      <c r="BI36" s="581"/>
      <c r="BJ36" s="581"/>
      <c r="BK36" s="582"/>
      <c r="BL36" s="420"/>
      <c r="BO36" s="392" t="s">
        <v>20</v>
      </c>
      <c r="BP36" s="393" t="s">
        <v>27</v>
      </c>
      <c r="BQ36" s="594" t="s">
        <v>28</v>
      </c>
      <c r="BR36" s="595"/>
      <c r="BS36" s="596"/>
      <c r="BT36" s="394" t="str">
        <f>+IF(Worksheet!$K38&gt;0,Worksheet!$K38,"NO facia")</f>
        <v>NO facia</v>
      </c>
      <c r="BV36" s="392" t="s">
        <v>20</v>
      </c>
      <c r="BW36" s="393" t="s">
        <v>27</v>
      </c>
      <c r="BX36" s="581"/>
      <c r="BY36" s="581"/>
      <c r="BZ36" s="581"/>
      <c r="CA36" s="582"/>
    </row>
    <row r="37" spans="1:79" ht="29.1" customHeight="1" x14ac:dyDescent="0.6">
      <c r="C37" s="395">
        <f>Worksheet!$AH18</f>
        <v>35.125</v>
      </c>
      <c r="D37" s="396">
        <f>ROUND(+F32+12,0)</f>
        <v>76</v>
      </c>
      <c r="E37" s="597" t="s">
        <v>29</v>
      </c>
      <c r="F37" s="598"/>
      <c r="G37" s="599"/>
      <c r="H37" s="394" t="str">
        <f>+IF(Worksheet!$K18&gt;0,"facia brkts","reg. brkts")</f>
        <v>facia brkts</v>
      </c>
      <c r="J37" s="395">
        <f>C37</f>
        <v>35.125</v>
      </c>
      <c r="K37" s="396">
        <f>D37</f>
        <v>76</v>
      </c>
      <c r="L37" s="583"/>
      <c r="M37" s="583"/>
      <c r="N37" s="583"/>
      <c r="O37" s="584"/>
      <c r="P37" s="420"/>
      <c r="S37" s="395">
        <f>Worksheet!$AH23</f>
        <v>-1.375</v>
      </c>
      <c r="T37" s="396">
        <f>ROUND(+V32+12,0)</f>
        <v>12</v>
      </c>
      <c r="U37" s="597" t="s">
        <v>29</v>
      </c>
      <c r="V37" s="598"/>
      <c r="W37" s="599"/>
      <c r="X37" s="394" t="str">
        <f>+IF(Worksheet!$K23&gt;0,"facia brkts","reg. brkts")</f>
        <v>reg. brkts</v>
      </c>
      <c r="Z37" s="395">
        <f>S37</f>
        <v>-1.375</v>
      </c>
      <c r="AA37" s="396">
        <f>T37</f>
        <v>12</v>
      </c>
      <c r="AB37" s="583"/>
      <c r="AC37" s="583"/>
      <c r="AD37" s="583"/>
      <c r="AE37" s="584"/>
      <c r="AF37" s="420"/>
      <c r="AI37" s="395">
        <f>Worksheet!$AH28</f>
        <v>-1.375</v>
      </c>
      <c r="AJ37" s="396">
        <f>ROUND(+AL32+12,0)</f>
        <v>12</v>
      </c>
      <c r="AK37" s="597" t="s">
        <v>29</v>
      </c>
      <c r="AL37" s="598"/>
      <c r="AM37" s="599"/>
      <c r="AN37" s="394" t="str">
        <f>+IF(Worksheet!$K28&gt;0,"facia brkts","reg. brkts")</f>
        <v>reg. brkts</v>
      </c>
      <c r="AP37" s="395">
        <f>AI37</f>
        <v>-1.375</v>
      </c>
      <c r="AQ37" s="396">
        <f>AJ37</f>
        <v>12</v>
      </c>
      <c r="AR37" s="583"/>
      <c r="AS37" s="583"/>
      <c r="AT37" s="583"/>
      <c r="AU37" s="584"/>
      <c r="AV37" s="420"/>
      <c r="AY37" s="395">
        <f>Worksheet!$AH33</f>
        <v>-1.375</v>
      </c>
      <c r="AZ37" s="396">
        <f>ROUND(+BB32+12,0)</f>
        <v>12</v>
      </c>
      <c r="BA37" s="597" t="s">
        <v>29</v>
      </c>
      <c r="BB37" s="598"/>
      <c r="BC37" s="599"/>
      <c r="BD37" s="394" t="str">
        <f>+IF(Worksheet!$K33&gt;0,"facia brkts","reg. brkts")</f>
        <v>reg. brkts</v>
      </c>
      <c r="BF37" s="395">
        <f>AY37</f>
        <v>-1.375</v>
      </c>
      <c r="BG37" s="396">
        <f>AZ37</f>
        <v>12</v>
      </c>
      <c r="BH37" s="583"/>
      <c r="BI37" s="583"/>
      <c r="BJ37" s="583"/>
      <c r="BK37" s="584"/>
      <c r="BL37" s="420"/>
      <c r="BO37" s="395">
        <f>Worksheet!$AH38</f>
        <v>-1.375</v>
      </c>
      <c r="BP37" s="396">
        <f>ROUND(+BR32+12,0)</f>
        <v>12</v>
      </c>
      <c r="BQ37" s="597" t="s">
        <v>29</v>
      </c>
      <c r="BR37" s="598"/>
      <c r="BS37" s="599"/>
      <c r="BT37" s="394" t="str">
        <f>+IF(Worksheet!$K38&gt;0,"facia brkts","reg. brkts")</f>
        <v>reg. brkts</v>
      </c>
      <c r="BV37" s="395">
        <f>BO37</f>
        <v>-1.375</v>
      </c>
      <c r="BW37" s="396">
        <f>BP37</f>
        <v>12</v>
      </c>
      <c r="BX37" s="583"/>
      <c r="BY37" s="583"/>
      <c r="BZ37" s="583"/>
      <c r="CA37" s="584"/>
    </row>
    <row r="38" spans="1:79" ht="30" customHeight="1" thickBot="1" x14ac:dyDescent="0.65">
      <c r="C38" s="397"/>
      <c r="D38" s="398" t="str">
        <f>+IF($C32&gt;0,"ROLLERSHADE","do not use")</f>
        <v>ROLLERSHADE</v>
      </c>
      <c r="E38" s="399"/>
      <c r="F38" s="399"/>
      <c r="G38" s="399"/>
      <c r="H38" s="400"/>
      <c r="J38" s="401"/>
      <c r="K38" s="398" t="str">
        <f>+IF(C32&gt;0,"TUBE SIZE","do not use")</f>
        <v>TUBE SIZE</v>
      </c>
      <c r="L38" s="399"/>
      <c r="M38" s="408" t="str">
        <f>IF(K38="TUBE SIZE",C32,IF(Worksheet!E40="Fabric ONLY","Fabric ONLY"," "))</f>
        <v>Tube 1.5</v>
      </c>
      <c r="N38" s="399"/>
      <c r="O38" s="400"/>
      <c r="P38" s="384"/>
      <c r="S38" s="397"/>
      <c r="T38" s="398" t="str">
        <f>+IF($T32&gt;0,"ROLLERSHADE","do not use")</f>
        <v>do not use</v>
      </c>
      <c r="U38" s="399"/>
      <c r="V38" s="399"/>
      <c r="W38" s="399"/>
      <c r="X38" s="400"/>
      <c r="Z38" s="401"/>
      <c r="AA38" s="398" t="str">
        <f>+IF(S32&gt;0,"TUBE SIZE","do not use")</f>
        <v>do not use</v>
      </c>
      <c r="AB38" s="399"/>
      <c r="AC38" s="408" t="str">
        <f>IF(AA38="TUBE SIZE",S32,IF(Worksheet!U40="Fabric ONLY","Fabric ONLY"," "))</f>
        <v xml:space="preserve"> </v>
      </c>
      <c r="AD38" s="399"/>
      <c r="AE38" s="400"/>
      <c r="AF38" s="384"/>
      <c r="AI38" s="397"/>
      <c r="AJ38" s="398" t="str">
        <f>+IF($AI32&gt;0,"ROLLERSHADE","do not use")</f>
        <v>do not use</v>
      </c>
      <c r="AK38" s="399"/>
      <c r="AL38" s="399"/>
      <c r="AM38" s="399"/>
      <c r="AN38" s="400"/>
      <c r="AP38" s="401"/>
      <c r="AQ38" s="398" t="str">
        <f>+IF(AI32&gt;0,"TUBE SIZE","do not use")</f>
        <v>do not use</v>
      </c>
      <c r="AR38" s="399"/>
      <c r="AS38" s="408" t="str">
        <f>IF(AQ38="TUBE SIZE",AI32,IF(Worksheet!AR40="Fabric ONLY","Fabric ONLY"," "))</f>
        <v xml:space="preserve"> </v>
      </c>
      <c r="AT38" s="399"/>
      <c r="AU38" s="400"/>
      <c r="AV38" s="384"/>
      <c r="AY38" s="397"/>
      <c r="AZ38" s="398" t="str">
        <f>+IF($AY32&gt;0,"ROLLERSHADE","do not use")</f>
        <v>do not use</v>
      </c>
      <c r="BA38" s="399"/>
      <c r="BB38" s="399"/>
      <c r="BC38" s="399"/>
      <c r="BD38" s="400"/>
      <c r="BF38" s="401"/>
      <c r="BG38" s="398" t="str">
        <f>+IF(AY32&gt;0,"TUBE SIZE","do not use")</f>
        <v>do not use</v>
      </c>
      <c r="BH38" s="399"/>
      <c r="BI38" s="408" t="str">
        <f>IF(BG38="TUBE SIZE",AY32,IF(Worksheet!BH40="Fabric ONLY","Fabric ONLY"," "))</f>
        <v xml:space="preserve"> </v>
      </c>
      <c r="BJ38" s="399"/>
      <c r="BK38" s="400"/>
      <c r="BL38" s="384"/>
      <c r="BO38" s="397"/>
      <c r="BP38" s="398" t="str">
        <f>+IF($BO32&gt;0,"ROLLERSHADE","do not use")</f>
        <v>do not use</v>
      </c>
      <c r="BQ38" s="399"/>
      <c r="BR38" s="399"/>
      <c r="BS38" s="399"/>
      <c r="BT38" s="400"/>
      <c r="BV38" s="401"/>
      <c r="BW38" s="398" t="str">
        <f>+IF(BO32&gt;0,"TUBE SIZE","do not use")</f>
        <v>do not use</v>
      </c>
      <c r="BX38" s="399"/>
      <c r="BY38" s="408" t="str">
        <f>IF(BW38="TUBE SIZE",BO32,IF(Worksheet!BX40="Fabric ONLY","Fabric ONLY"," "))</f>
        <v xml:space="preserve"> </v>
      </c>
      <c r="BZ38" s="399"/>
      <c r="CA38" s="400"/>
    </row>
    <row r="39" spans="1:79" ht="59.25" customHeight="1" thickBot="1" x14ac:dyDescent="0.35">
      <c r="C39" s="384"/>
      <c r="D39" s="384"/>
      <c r="E39" s="384"/>
      <c r="F39" s="384"/>
      <c r="G39" s="384"/>
      <c r="H39" s="384"/>
      <c r="S39" s="384"/>
      <c r="T39" s="384"/>
      <c r="U39" s="384"/>
      <c r="V39" s="384"/>
      <c r="W39" s="384"/>
      <c r="X39" s="384"/>
      <c r="AI39" s="384"/>
      <c r="AJ39" s="384"/>
      <c r="AK39" s="384"/>
      <c r="AL39" s="384"/>
      <c r="AM39" s="384"/>
      <c r="AN39" s="384"/>
      <c r="AY39" s="384"/>
      <c r="AZ39" s="384"/>
      <c r="BA39" s="384"/>
      <c r="BB39" s="384"/>
      <c r="BC39" s="384"/>
      <c r="BD39" s="384"/>
      <c r="BO39" s="384"/>
      <c r="BP39" s="384"/>
      <c r="BQ39" s="384"/>
      <c r="BR39" s="384"/>
      <c r="BS39" s="384"/>
      <c r="BT39" s="384"/>
    </row>
    <row r="40" spans="1:79" ht="20.25" customHeight="1" thickBot="1" x14ac:dyDescent="0.7">
      <c r="A40" s="352" t="s">
        <v>51</v>
      </c>
      <c r="B40" s="352" t="s">
        <v>2484</v>
      </c>
      <c r="C40" s="359" t="s">
        <v>21</v>
      </c>
      <c r="D40" s="564">
        <f>+jobnumber</f>
        <v>33303</v>
      </c>
      <c r="E40" s="565"/>
      <c r="F40" s="565"/>
      <c r="G40" s="566"/>
      <c r="H40" s="567" t="str">
        <f>+Worksheet!$B19</f>
        <v>P1-RS4</v>
      </c>
      <c r="J40" s="359" t="s">
        <v>21</v>
      </c>
      <c r="K40" s="360">
        <f>+jobnumber</f>
        <v>33303</v>
      </c>
      <c r="L40" s="361"/>
      <c r="M40" s="361"/>
      <c r="N40" s="361"/>
      <c r="O40" s="567" t="str">
        <f>+H40</f>
        <v>P1-RS4</v>
      </c>
      <c r="P40" s="362"/>
      <c r="Q40" s="352" t="s">
        <v>56</v>
      </c>
      <c r="R40" s="352" t="s">
        <v>2489</v>
      </c>
      <c r="S40" s="359" t="s">
        <v>21</v>
      </c>
      <c r="T40" s="564">
        <f>+jobnumber</f>
        <v>33303</v>
      </c>
      <c r="U40" s="565"/>
      <c r="V40" s="565"/>
      <c r="W40" s="566"/>
      <c r="X40" s="567" t="str">
        <f>+Worksheet!$B24</f>
        <v>P1-RS9</v>
      </c>
      <c r="Z40" s="359" t="s">
        <v>21</v>
      </c>
      <c r="AA40" s="360">
        <f>+jobnumber</f>
        <v>33303</v>
      </c>
      <c r="AB40" s="361"/>
      <c r="AC40" s="361"/>
      <c r="AD40" s="361"/>
      <c r="AE40" s="567" t="str">
        <f>+X40</f>
        <v>P1-RS9</v>
      </c>
      <c r="AF40" s="362"/>
      <c r="AG40" s="352" t="s">
        <v>62</v>
      </c>
      <c r="AH40" s="352" t="s">
        <v>2494</v>
      </c>
      <c r="AI40" s="359" t="s">
        <v>21</v>
      </c>
      <c r="AJ40" s="564">
        <f>+jobnumber</f>
        <v>33303</v>
      </c>
      <c r="AK40" s="565"/>
      <c r="AL40" s="565"/>
      <c r="AM40" s="566"/>
      <c r="AN40" s="567" t="str">
        <f>+Worksheet!$B29</f>
        <v>P1-RS14</v>
      </c>
      <c r="AP40" s="359" t="s">
        <v>21</v>
      </c>
      <c r="AQ40" s="360">
        <f>+jobnumber</f>
        <v>33303</v>
      </c>
      <c r="AR40" s="361"/>
      <c r="AS40" s="361"/>
      <c r="AT40" s="361"/>
      <c r="AU40" s="567" t="str">
        <f>+AN40</f>
        <v>P1-RS14</v>
      </c>
      <c r="AV40" s="362"/>
      <c r="AW40" s="352" t="s">
        <v>67</v>
      </c>
      <c r="AX40" s="352" t="s">
        <v>2499</v>
      </c>
      <c r="AY40" s="359" t="s">
        <v>21</v>
      </c>
      <c r="AZ40" s="564">
        <f>+jobnumber</f>
        <v>33303</v>
      </c>
      <c r="BA40" s="565"/>
      <c r="BB40" s="565"/>
      <c r="BC40" s="566"/>
      <c r="BD40" s="567" t="str">
        <f>+Worksheet!$B34</f>
        <v>P1-RS19</v>
      </c>
      <c r="BF40" s="359" t="s">
        <v>21</v>
      </c>
      <c r="BG40" s="360">
        <f>+jobnumber</f>
        <v>33303</v>
      </c>
      <c r="BH40" s="361"/>
      <c r="BI40" s="361"/>
      <c r="BJ40" s="361"/>
      <c r="BK40" s="567" t="str">
        <f>+BD40</f>
        <v>P1-RS19</v>
      </c>
      <c r="BL40" s="362"/>
      <c r="BM40" s="352" t="s">
        <v>180</v>
      </c>
      <c r="BN40" s="352" t="s">
        <v>2504</v>
      </c>
      <c r="BO40" s="359" t="s">
        <v>21</v>
      </c>
      <c r="BP40" s="564">
        <f>+jobnumber</f>
        <v>33303</v>
      </c>
      <c r="BQ40" s="565"/>
      <c r="BR40" s="565"/>
      <c r="BS40" s="566"/>
      <c r="BT40" s="567" t="str">
        <f>+Worksheet!$B39</f>
        <v>P1-RS24</v>
      </c>
      <c r="BV40" s="359" t="s">
        <v>21</v>
      </c>
      <c r="BW40" s="360">
        <f>+jobnumber</f>
        <v>33303</v>
      </c>
      <c r="BX40" s="361"/>
      <c r="BY40" s="361"/>
      <c r="BZ40" s="361"/>
      <c r="CA40" s="567" t="str">
        <f>+BT40</f>
        <v>P1-RS24</v>
      </c>
    </row>
    <row r="41" spans="1:79" ht="20.25" customHeight="1" thickBot="1" x14ac:dyDescent="0.7">
      <c r="C41" s="363" t="s">
        <v>2626</v>
      </c>
      <c r="D41" s="569" t="str">
        <f>+_xlfn.SINGLE(bill_name)</f>
        <v>JLL</v>
      </c>
      <c r="E41" s="570"/>
      <c r="F41" s="570"/>
      <c r="G41" s="571"/>
      <c r="H41" s="568"/>
      <c r="J41" s="365" t="s">
        <v>22</v>
      </c>
      <c r="K41" s="366" t="str">
        <f>+_xlfn.SINGLE(bill_name)</f>
        <v>JLL</v>
      </c>
      <c r="L41" s="367"/>
      <c r="M41" s="367"/>
      <c r="N41" s="367"/>
      <c r="O41" s="568"/>
      <c r="P41" s="362"/>
      <c r="S41" s="363" t="s">
        <v>2626</v>
      </c>
      <c r="T41" s="569" t="str">
        <f>+_xlfn.SINGLE(bill_name)</f>
        <v>JLL</v>
      </c>
      <c r="U41" s="570"/>
      <c r="V41" s="570"/>
      <c r="W41" s="571"/>
      <c r="X41" s="568"/>
      <c r="Z41" s="365" t="s">
        <v>22</v>
      </c>
      <c r="AA41" s="366" t="str">
        <f>+_xlfn.SINGLE(bill_name)</f>
        <v>JLL</v>
      </c>
      <c r="AB41" s="367"/>
      <c r="AC41" s="367"/>
      <c r="AD41" s="367"/>
      <c r="AE41" s="568"/>
      <c r="AF41" s="362"/>
      <c r="AI41" s="363" t="s">
        <v>2626</v>
      </c>
      <c r="AJ41" s="569" t="str">
        <f>+_xlfn.SINGLE(bill_name)</f>
        <v>JLL</v>
      </c>
      <c r="AK41" s="570"/>
      <c r="AL41" s="570"/>
      <c r="AM41" s="571"/>
      <c r="AN41" s="568"/>
      <c r="AP41" s="365" t="s">
        <v>22</v>
      </c>
      <c r="AQ41" s="366" t="str">
        <f>+_xlfn.SINGLE(bill_name)</f>
        <v>JLL</v>
      </c>
      <c r="AR41" s="367"/>
      <c r="AS41" s="367"/>
      <c r="AT41" s="367"/>
      <c r="AU41" s="568"/>
      <c r="AV41" s="362"/>
      <c r="AY41" s="363" t="s">
        <v>2626</v>
      </c>
      <c r="AZ41" s="569" t="str">
        <f>+_xlfn.SINGLE(bill_name)</f>
        <v>JLL</v>
      </c>
      <c r="BA41" s="570"/>
      <c r="BB41" s="570"/>
      <c r="BC41" s="571"/>
      <c r="BD41" s="568"/>
      <c r="BF41" s="365" t="s">
        <v>22</v>
      </c>
      <c r="BG41" s="366" t="str">
        <f>+_xlfn.SINGLE(bill_name)</f>
        <v>JLL</v>
      </c>
      <c r="BH41" s="367"/>
      <c r="BI41" s="367"/>
      <c r="BJ41" s="367"/>
      <c r="BK41" s="568"/>
      <c r="BL41" s="362"/>
      <c r="BO41" s="363" t="s">
        <v>2626</v>
      </c>
      <c r="BP41" s="569" t="str">
        <f>+_xlfn.SINGLE(bill_name)</f>
        <v>JLL</v>
      </c>
      <c r="BQ41" s="570"/>
      <c r="BR41" s="570"/>
      <c r="BS41" s="571"/>
      <c r="BT41" s="568"/>
      <c r="BV41" s="365" t="s">
        <v>22</v>
      </c>
      <c r="BW41" s="366" t="str">
        <f>+_xlfn.SINGLE(bill_name)</f>
        <v>JLL</v>
      </c>
      <c r="BX41" s="367"/>
      <c r="BY41" s="367"/>
      <c r="BZ41" s="367"/>
      <c r="CA41" s="568"/>
    </row>
    <row r="42" spans="1:79" s="364" customFormat="1" ht="21" x14ac:dyDescent="0.4">
      <c r="A42" s="352"/>
      <c r="B42" s="352"/>
      <c r="C42" s="368" t="s">
        <v>2627</v>
      </c>
      <c r="D42" s="572" t="str">
        <f>+jobname</f>
        <v>Cottonwood Creek WO#I5187109-00104</v>
      </c>
      <c r="E42" s="573"/>
      <c r="F42" s="573"/>
      <c r="G42" s="573"/>
      <c r="H42" s="574"/>
      <c r="J42" s="369" t="s">
        <v>78</v>
      </c>
      <c r="K42" s="577" t="str">
        <f>+jobname</f>
        <v>Cottonwood Creek WO#I5187109-00104</v>
      </c>
      <c r="L42" s="578"/>
      <c r="M42" s="578"/>
      <c r="N42" s="578"/>
      <c r="O42" s="579"/>
      <c r="P42" s="373"/>
      <c r="Q42" s="352"/>
      <c r="R42" s="352"/>
      <c r="S42" s="368" t="s">
        <v>2627</v>
      </c>
      <c r="T42" s="572" t="str">
        <f>+jobname</f>
        <v>Cottonwood Creek WO#I5187109-00104</v>
      </c>
      <c r="U42" s="573"/>
      <c r="V42" s="573"/>
      <c r="W42" s="573"/>
      <c r="X42" s="574"/>
      <c r="Z42" s="369" t="s">
        <v>78</v>
      </c>
      <c r="AA42" s="370" t="str">
        <f>+jobname</f>
        <v>Cottonwood Creek WO#I5187109-00104</v>
      </c>
      <c r="AB42" s="371"/>
      <c r="AC42" s="371"/>
      <c r="AD42" s="371"/>
      <c r="AE42" s="372"/>
      <c r="AF42" s="373"/>
      <c r="AG42" s="352"/>
      <c r="AH42" s="352"/>
      <c r="AI42" s="368" t="s">
        <v>2627</v>
      </c>
      <c r="AJ42" s="572" t="str">
        <f>+jobname</f>
        <v>Cottonwood Creek WO#I5187109-00104</v>
      </c>
      <c r="AK42" s="573"/>
      <c r="AL42" s="573"/>
      <c r="AM42" s="573"/>
      <c r="AN42" s="574"/>
      <c r="AP42" s="369" t="s">
        <v>78</v>
      </c>
      <c r="AQ42" s="370" t="str">
        <f>+jobname</f>
        <v>Cottonwood Creek WO#I5187109-00104</v>
      </c>
      <c r="AR42" s="371"/>
      <c r="AS42" s="371"/>
      <c r="AT42" s="371"/>
      <c r="AU42" s="372"/>
      <c r="AV42" s="373"/>
      <c r="AW42" s="352"/>
      <c r="AX42" s="352"/>
      <c r="AY42" s="368" t="s">
        <v>2627</v>
      </c>
      <c r="AZ42" s="572" t="str">
        <f>+jobname</f>
        <v>Cottonwood Creek WO#I5187109-00104</v>
      </c>
      <c r="BA42" s="573"/>
      <c r="BB42" s="573"/>
      <c r="BC42" s="573"/>
      <c r="BD42" s="574"/>
      <c r="BF42" s="369" t="s">
        <v>78</v>
      </c>
      <c r="BG42" s="370" t="str">
        <f>+jobname</f>
        <v>Cottonwood Creek WO#I5187109-00104</v>
      </c>
      <c r="BH42" s="371"/>
      <c r="BI42" s="371"/>
      <c r="BJ42" s="371"/>
      <c r="BK42" s="372"/>
      <c r="BL42" s="373"/>
      <c r="BM42" s="352"/>
      <c r="BN42" s="352"/>
      <c r="BO42" s="368" t="s">
        <v>2627</v>
      </c>
      <c r="BP42" s="572" t="str">
        <f>+jobname</f>
        <v>Cottonwood Creek WO#I5187109-00104</v>
      </c>
      <c r="BQ42" s="573"/>
      <c r="BR42" s="573"/>
      <c r="BS42" s="573"/>
      <c r="BT42" s="574"/>
      <c r="BV42" s="369" t="s">
        <v>78</v>
      </c>
      <c r="BW42" s="370" t="str">
        <f>+jobname</f>
        <v>Cottonwood Creek WO#I5187109-00104</v>
      </c>
      <c r="BX42" s="371"/>
      <c r="BY42" s="371"/>
      <c r="BZ42" s="371"/>
      <c r="CA42" s="372"/>
    </row>
    <row r="43" spans="1:79" ht="18" x14ac:dyDescent="0.35">
      <c r="C43" s="374" t="s">
        <v>23</v>
      </c>
      <c r="D43" s="575" t="str">
        <f>+Worksheet!$C19</f>
        <v>Room 104</v>
      </c>
      <c r="E43" s="576"/>
      <c r="F43" s="576"/>
      <c r="G43" s="371"/>
      <c r="H43" s="375" t="str">
        <f>+IF(Worksheet!$O$9=1,"Install",IF(Worksheet!$O$9=2,"Deliver",IF(Worksheet!$O$9=3,"Will Call",0)))</f>
        <v>Install</v>
      </c>
      <c r="J43" s="374" t="s">
        <v>23</v>
      </c>
      <c r="K43" s="373" t="str">
        <f>D43</f>
        <v>Room 104</v>
      </c>
      <c r="L43" s="371"/>
      <c r="M43" s="371"/>
      <c r="N43" s="371"/>
      <c r="O43" s="376" t="str">
        <f>H43</f>
        <v>Install</v>
      </c>
      <c r="P43" s="373"/>
      <c r="S43" s="374" t="s">
        <v>23</v>
      </c>
      <c r="T43" s="575">
        <f>+Worksheet!$C24</f>
        <v>0</v>
      </c>
      <c r="U43" s="576"/>
      <c r="V43" s="576"/>
      <c r="W43" s="371"/>
      <c r="X43" s="375" t="str">
        <f>+IF(Worksheet!$O$9=1,"Install",IF(Worksheet!$O$9=2,"Deliver",IF(Worksheet!$O$9=3,"Will Call",0)))</f>
        <v>Install</v>
      </c>
      <c r="Z43" s="374" t="s">
        <v>23</v>
      </c>
      <c r="AA43" s="373">
        <f>T43</f>
        <v>0</v>
      </c>
      <c r="AB43" s="371"/>
      <c r="AC43" s="371"/>
      <c r="AD43" s="371"/>
      <c r="AE43" s="376" t="str">
        <f>X43</f>
        <v>Install</v>
      </c>
      <c r="AF43" s="373"/>
      <c r="AI43" s="374" t="s">
        <v>23</v>
      </c>
      <c r="AJ43" s="575">
        <f>+Worksheet!$C29</f>
        <v>0</v>
      </c>
      <c r="AK43" s="576"/>
      <c r="AL43" s="576"/>
      <c r="AM43" s="371"/>
      <c r="AN43" s="375" t="str">
        <f>+IF(Worksheet!$O$9=1,"Install",IF(Worksheet!$O$9=2,"Deliver",IF(Worksheet!$O$9=3,"Will Call",0)))</f>
        <v>Install</v>
      </c>
      <c r="AP43" s="374" t="s">
        <v>23</v>
      </c>
      <c r="AQ43" s="373">
        <f>AJ43</f>
        <v>0</v>
      </c>
      <c r="AR43" s="371"/>
      <c r="AS43" s="371"/>
      <c r="AT43" s="371"/>
      <c r="AU43" s="376" t="str">
        <f>AN43</f>
        <v>Install</v>
      </c>
      <c r="AV43" s="373"/>
      <c r="AY43" s="374" t="s">
        <v>23</v>
      </c>
      <c r="AZ43" s="575">
        <f>+Worksheet!$C34</f>
        <v>0</v>
      </c>
      <c r="BA43" s="576"/>
      <c r="BB43" s="576"/>
      <c r="BC43" s="371"/>
      <c r="BD43" s="375" t="str">
        <f>+IF(Worksheet!$O$9=1,"Install",IF(Worksheet!$O$9=2,"Deliver",IF(Worksheet!$O$9=3,"Will Call",0)))</f>
        <v>Install</v>
      </c>
      <c r="BF43" s="374" t="s">
        <v>23</v>
      </c>
      <c r="BG43" s="373">
        <f>AZ43</f>
        <v>0</v>
      </c>
      <c r="BH43" s="371"/>
      <c r="BI43" s="371"/>
      <c r="BJ43" s="371"/>
      <c r="BK43" s="376" t="str">
        <f>BD43</f>
        <v>Install</v>
      </c>
      <c r="BL43" s="373"/>
      <c r="BO43" s="374" t="s">
        <v>23</v>
      </c>
      <c r="BP43" s="575">
        <f>+Worksheet!$C39</f>
        <v>0</v>
      </c>
      <c r="BQ43" s="576"/>
      <c r="BR43" s="576"/>
      <c r="BS43" s="371"/>
      <c r="BT43" s="375" t="str">
        <f>+IF(Worksheet!$O$9=1,"Install",IF(Worksheet!$O$9=2,"Deliver",IF(Worksheet!$O$9=3,"Will Call",0)))</f>
        <v>Install</v>
      </c>
      <c r="BV43" s="374" t="s">
        <v>23</v>
      </c>
      <c r="BW43" s="373">
        <f>BP43</f>
        <v>0</v>
      </c>
      <c r="BX43" s="371"/>
      <c r="BY43" s="371"/>
      <c r="BZ43" s="371"/>
      <c r="CA43" s="376" t="str">
        <f>BT43</f>
        <v>Install</v>
      </c>
    </row>
    <row r="44" spans="1:79" s="364" customFormat="1" ht="18" x14ac:dyDescent="0.35">
      <c r="A44" s="352"/>
      <c r="B44" s="352"/>
      <c r="C44" s="377" t="str">
        <f>+IF(Worksheet!$D19&gt;0,Worksheet!$E19,0)</f>
        <v>Tube 1.5</v>
      </c>
      <c r="D44" s="378">
        <f>+Worksheet!$F19</f>
        <v>36</v>
      </c>
      <c r="E44" s="379" t="s">
        <v>4</v>
      </c>
      <c r="F44" s="378">
        <f>+Worksheet!$H19</f>
        <v>64</v>
      </c>
      <c r="G44" s="380"/>
      <c r="H44" s="381" t="str">
        <f>+Worksheet!$I19</f>
        <v>IB</v>
      </c>
      <c r="J44" s="377"/>
      <c r="N44" s="380"/>
      <c r="O44" s="381" t="str">
        <f>H44</f>
        <v>IB</v>
      </c>
      <c r="P44" s="382"/>
      <c r="Q44" s="352"/>
      <c r="R44" s="352"/>
      <c r="S44" s="377">
        <f>+IF(Worksheet!$D24&gt;0,Worksheet!$E24,0)</f>
        <v>0</v>
      </c>
      <c r="T44" s="378">
        <f>+Worksheet!$F24</f>
        <v>0</v>
      </c>
      <c r="U44" s="379" t="s">
        <v>4</v>
      </c>
      <c r="V44" s="378">
        <f>+Worksheet!$H24</f>
        <v>0</v>
      </c>
      <c r="W44" s="380"/>
      <c r="X44" s="381">
        <f>+Worksheet!$I24</f>
        <v>0</v>
      </c>
      <c r="Z44" s="377"/>
      <c r="AD44" s="380"/>
      <c r="AE44" s="381">
        <f>X44</f>
        <v>0</v>
      </c>
      <c r="AF44" s="382"/>
      <c r="AG44" s="352"/>
      <c r="AH44" s="352"/>
      <c r="AI44" s="377">
        <f>+IF(Worksheet!$D29&gt;0,Worksheet!$E29,0)</f>
        <v>0</v>
      </c>
      <c r="AJ44" s="378">
        <f>+Worksheet!$F29</f>
        <v>0</v>
      </c>
      <c r="AK44" s="379" t="s">
        <v>4</v>
      </c>
      <c r="AL44" s="378">
        <f>+Worksheet!$H29</f>
        <v>0</v>
      </c>
      <c r="AM44" s="380"/>
      <c r="AN44" s="381">
        <f>+Worksheet!$I29</f>
        <v>0</v>
      </c>
      <c r="AP44" s="377"/>
      <c r="AT44" s="380"/>
      <c r="AU44" s="381">
        <f>AN44</f>
        <v>0</v>
      </c>
      <c r="AV44" s="382"/>
      <c r="AW44" s="352"/>
      <c r="AX44" s="352"/>
      <c r="AY44" s="377">
        <f>+IF(Worksheet!$D34&gt;0,Worksheet!$E34,0)</f>
        <v>0</v>
      </c>
      <c r="AZ44" s="378">
        <f>+Worksheet!$F34</f>
        <v>0</v>
      </c>
      <c r="BA44" s="379" t="s">
        <v>4</v>
      </c>
      <c r="BB44" s="378">
        <f>+Worksheet!$H34</f>
        <v>0</v>
      </c>
      <c r="BC44" s="380"/>
      <c r="BD44" s="381">
        <f>+Worksheet!$I34</f>
        <v>0</v>
      </c>
      <c r="BF44" s="377"/>
      <c r="BJ44" s="380"/>
      <c r="BK44" s="381">
        <f>BD44</f>
        <v>0</v>
      </c>
      <c r="BL44" s="382"/>
      <c r="BM44" s="352"/>
      <c r="BN44" s="352"/>
      <c r="BO44" s="377">
        <f>+IF(Worksheet!$D39&gt;0,Worksheet!$E39,0)</f>
        <v>0</v>
      </c>
      <c r="BP44" s="378">
        <f>+Worksheet!$F39</f>
        <v>0</v>
      </c>
      <c r="BQ44" s="379" t="s">
        <v>4</v>
      </c>
      <c r="BR44" s="378">
        <f>+Worksheet!$H39</f>
        <v>0</v>
      </c>
      <c r="BS44" s="380"/>
      <c r="BT44" s="381">
        <f>+Worksheet!$I39</f>
        <v>0</v>
      </c>
      <c r="BV44" s="377"/>
      <c r="BZ44" s="380"/>
      <c r="CA44" s="381">
        <f>BT44</f>
        <v>0</v>
      </c>
    </row>
    <row r="45" spans="1:79" ht="18" x14ac:dyDescent="0.35">
      <c r="C45" s="383" t="s">
        <v>19</v>
      </c>
      <c r="D45" s="592" t="str">
        <f>+Worksheet!$M19</f>
        <v>Panta Flex Linen</v>
      </c>
      <c r="E45" s="593"/>
      <c r="F45" s="593"/>
      <c r="G45" s="384"/>
      <c r="H45" s="385"/>
      <c r="J45" s="374" t="s">
        <v>2594</v>
      </c>
      <c r="K45" s="378">
        <f>D44</f>
        <v>36</v>
      </c>
      <c r="L45" s="378" t="str">
        <f>+E44</f>
        <v>X</v>
      </c>
      <c r="M45" s="378">
        <f>F44</f>
        <v>64</v>
      </c>
      <c r="N45" s="384"/>
      <c r="O45" s="385"/>
      <c r="P45" s="384"/>
      <c r="S45" s="383" t="s">
        <v>19</v>
      </c>
      <c r="T45" s="592">
        <f>+Worksheet!$M24</f>
        <v>0</v>
      </c>
      <c r="U45" s="593"/>
      <c r="V45" s="593"/>
      <c r="W45" s="384"/>
      <c r="X45" s="385"/>
      <c r="Z45" s="374" t="s">
        <v>2594</v>
      </c>
      <c r="AA45" s="378">
        <f>T44</f>
        <v>0</v>
      </c>
      <c r="AB45" s="378" t="str">
        <f>+U44</f>
        <v>X</v>
      </c>
      <c r="AC45" s="378">
        <f>V44</f>
        <v>0</v>
      </c>
      <c r="AD45" s="384"/>
      <c r="AE45" s="385"/>
      <c r="AF45" s="384"/>
      <c r="AI45" s="383" t="s">
        <v>19</v>
      </c>
      <c r="AJ45" s="592">
        <f>+Worksheet!$M29</f>
        <v>0</v>
      </c>
      <c r="AK45" s="593"/>
      <c r="AL45" s="593"/>
      <c r="AM45" s="384"/>
      <c r="AN45" s="385"/>
      <c r="AP45" s="374" t="s">
        <v>2594</v>
      </c>
      <c r="AQ45" s="378">
        <f>AJ44</f>
        <v>0</v>
      </c>
      <c r="AR45" s="378" t="str">
        <f>+AK44</f>
        <v>X</v>
      </c>
      <c r="AS45" s="378">
        <f>AL44</f>
        <v>0</v>
      </c>
      <c r="AT45" s="384"/>
      <c r="AU45" s="385"/>
      <c r="AV45" s="384"/>
      <c r="AY45" s="383" t="s">
        <v>19</v>
      </c>
      <c r="AZ45" s="592">
        <f>+Worksheet!$M34</f>
        <v>0</v>
      </c>
      <c r="BA45" s="593"/>
      <c r="BB45" s="593"/>
      <c r="BC45" s="384"/>
      <c r="BD45" s="385"/>
      <c r="BF45" s="374" t="s">
        <v>2594</v>
      </c>
      <c r="BG45" s="378">
        <f>AZ44</f>
        <v>0</v>
      </c>
      <c r="BH45" s="378" t="str">
        <f>+BA44</f>
        <v>X</v>
      </c>
      <c r="BI45" s="378">
        <f>BB44</f>
        <v>0</v>
      </c>
      <c r="BJ45" s="384"/>
      <c r="BK45" s="385"/>
      <c r="BL45" s="384"/>
      <c r="BO45" s="383" t="s">
        <v>19</v>
      </c>
      <c r="BP45" s="592">
        <f>+Worksheet!$M39</f>
        <v>0</v>
      </c>
      <c r="BQ45" s="593"/>
      <c r="BR45" s="593"/>
      <c r="BS45" s="384"/>
      <c r="BT45" s="385"/>
      <c r="BV45" s="374" t="s">
        <v>2594</v>
      </c>
      <c r="BW45" s="378">
        <f>BP44</f>
        <v>0</v>
      </c>
      <c r="BX45" s="378" t="str">
        <f>+BQ44</f>
        <v>X</v>
      </c>
      <c r="BY45" s="378">
        <f>BR44</f>
        <v>0</v>
      </c>
      <c r="BZ45" s="384"/>
      <c r="CA45" s="385"/>
    </row>
    <row r="46" spans="1:79" ht="18" x14ac:dyDescent="0.35">
      <c r="C46" s="386" t="s">
        <v>24</v>
      </c>
      <c r="D46" s="387" t="str">
        <f>+IF(Worksheet!$O19="V","fabric verticle",IF(Worksheet!$O19="RR","fabric Railroad",0))</f>
        <v>fabric verticle</v>
      </c>
      <c r="E46" s="594" t="s">
        <v>25</v>
      </c>
      <c r="F46" s="595"/>
      <c r="G46" s="596"/>
      <c r="H46" s="388" t="str">
        <f>+IF(Worksheet!$J19&gt;0,Worksheet!$J19,"NO")</f>
        <v>NO</v>
      </c>
      <c r="J46" s="377"/>
      <c r="K46" s="389"/>
      <c r="L46" s="580" t="s">
        <v>2593</v>
      </c>
      <c r="M46" s="581"/>
      <c r="N46" s="581"/>
      <c r="O46" s="582"/>
      <c r="P46" s="420"/>
      <c r="S46" s="386" t="s">
        <v>24</v>
      </c>
      <c r="T46" s="387">
        <f>+IF(Worksheet!$O24="V","fabric verticle",IF(Worksheet!$O24="RR","fabric Railroad",0))</f>
        <v>0</v>
      </c>
      <c r="U46" s="594" t="s">
        <v>25</v>
      </c>
      <c r="V46" s="595"/>
      <c r="W46" s="596"/>
      <c r="X46" s="388" t="str">
        <f>+IF(Worksheet!$J24&gt;0,Worksheet!$J24,"NO")</f>
        <v>NO</v>
      </c>
      <c r="Z46" s="377"/>
      <c r="AA46" s="389"/>
      <c r="AB46" s="580" t="s">
        <v>2593</v>
      </c>
      <c r="AC46" s="581"/>
      <c r="AD46" s="581"/>
      <c r="AE46" s="582"/>
      <c r="AF46" s="420"/>
      <c r="AI46" s="386" t="s">
        <v>24</v>
      </c>
      <c r="AJ46" s="387">
        <f>+IF(Worksheet!$O29="V","fabric verticle",IF(Worksheet!$O29="RR","fabric Railroad",0))</f>
        <v>0</v>
      </c>
      <c r="AK46" s="594" t="s">
        <v>25</v>
      </c>
      <c r="AL46" s="595"/>
      <c r="AM46" s="596"/>
      <c r="AN46" s="388" t="str">
        <f>+IF(Worksheet!$J29&gt;0,Worksheet!$J29,"NO")</f>
        <v>NO</v>
      </c>
      <c r="AP46" s="377"/>
      <c r="AQ46" s="389"/>
      <c r="AR46" s="580" t="s">
        <v>2593</v>
      </c>
      <c r="AS46" s="581"/>
      <c r="AT46" s="581"/>
      <c r="AU46" s="582"/>
      <c r="AV46" s="420"/>
      <c r="AY46" s="386" t="s">
        <v>24</v>
      </c>
      <c r="AZ46" s="387">
        <f>+IF(Worksheet!$O34="V","fabric verticle",IF(Worksheet!$O34="RR","fabric Railroad",0))</f>
        <v>0</v>
      </c>
      <c r="BA46" s="594" t="s">
        <v>25</v>
      </c>
      <c r="BB46" s="595"/>
      <c r="BC46" s="596"/>
      <c r="BD46" s="388" t="str">
        <f>+IF(Worksheet!$J34&gt;0,Worksheet!$J34,"NO")</f>
        <v>NO</v>
      </c>
      <c r="BF46" s="377"/>
      <c r="BG46" s="389"/>
      <c r="BH46" s="580" t="s">
        <v>2593</v>
      </c>
      <c r="BI46" s="581"/>
      <c r="BJ46" s="581"/>
      <c r="BK46" s="582"/>
      <c r="BL46" s="420"/>
      <c r="BO46" s="386" t="s">
        <v>24</v>
      </c>
      <c r="BP46" s="387">
        <f>+IF(Worksheet!$O39="V","fabric verticle",IF(Worksheet!$O39="RR","fabric Railroad",0))</f>
        <v>0</v>
      </c>
      <c r="BQ46" s="594" t="s">
        <v>25</v>
      </c>
      <c r="BR46" s="595"/>
      <c r="BS46" s="596"/>
      <c r="BT46" s="388" t="str">
        <f>+IF(Worksheet!$J39&gt;0,Worksheet!$J39,"NO")</f>
        <v>NO</v>
      </c>
      <c r="BV46" s="377"/>
      <c r="BW46" s="389"/>
      <c r="BX46" s="580" t="s">
        <v>2593</v>
      </c>
      <c r="BY46" s="581"/>
      <c r="BZ46" s="581"/>
      <c r="CA46" s="582"/>
    </row>
    <row r="47" spans="1:79" s="391" customFormat="1" x14ac:dyDescent="0.3">
      <c r="A47" s="352"/>
      <c r="B47" s="352"/>
      <c r="C47" s="585" t="str">
        <f>+Worksheet!$N19</f>
        <v>SAVE RODS</v>
      </c>
      <c r="D47" s="586"/>
      <c r="E47" s="587" t="s">
        <v>26</v>
      </c>
      <c r="F47" s="588"/>
      <c r="G47" s="589"/>
      <c r="H47" s="390" t="str">
        <f>+Worksheet!$L19</f>
        <v>seamed</v>
      </c>
      <c r="J47" s="590"/>
      <c r="K47" s="591"/>
      <c r="L47" s="581"/>
      <c r="M47" s="581"/>
      <c r="N47" s="581"/>
      <c r="O47" s="582"/>
      <c r="P47" s="420"/>
      <c r="Q47" s="352"/>
      <c r="R47" s="352"/>
      <c r="S47" s="585">
        <f>+Worksheet!$N24</f>
        <v>0</v>
      </c>
      <c r="T47" s="586"/>
      <c r="U47" s="587" t="s">
        <v>26</v>
      </c>
      <c r="V47" s="588"/>
      <c r="W47" s="589"/>
      <c r="X47" s="390">
        <f>+Worksheet!$L24</f>
        <v>0</v>
      </c>
      <c r="Z47" s="590"/>
      <c r="AA47" s="591"/>
      <c r="AB47" s="581"/>
      <c r="AC47" s="581"/>
      <c r="AD47" s="581"/>
      <c r="AE47" s="582"/>
      <c r="AF47" s="420"/>
      <c r="AG47" s="352"/>
      <c r="AH47" s="352"/>
      <c r="AI47" s="585">
        <f>+Worksheet!$N29</f>
        <v>0</v>
      </c>
      <c r="AJ47" s="586"/>
      <c r="AK47" s="587" t="s">
        <v>26</v>
      </c>
      <c r="AL47" s="588"/>
      <c r="AM47" s="589"/>
      <c r="AN47" s="390">
        <f>+Worksheet!$L29</f>
        <v>0</v>
      </c>
      <c r="AP47" s="590"/>
      <c r="AQ47" s="591"/>
      <c r="AR47" s="581"/>
      <c r="AS47" s="581"/>
      <c r="AT47" s="581"/>
      <c r="AU47" s="582"/>
      <c r="AV47" s="420"/>
      <c r="AW47" s="352"/>
      <c r="AX47" s="352"/>
      <c r="AY47" s="585">
        <f>+Worksheet!$N34</f>
        <v>0</v>
      </c>
      <c r="AZ47" s="586"/>
      <c r="BA47" s="587" t="s">
        <v>26</v>
      </c>
      <c r="BB47" s="588"/>
      <c r="BC47" s="589"/>
      <c r="BD47" s="390">
        <f>+Worksheet!$L34</f>
        <v>0</v>
      </c>
      <c r="BF47" s="590"/>
      <c r="BG47" s="591"/>
      <c r="BH47" s="581"/>
      <c r="BI47" s="581"/>
      <c r="BJ47" s="581"/>
      <c r="BK47" s="582"/>
      <c r="BL47" s="420"/>
      <c r="BM47" s="352"/>
      <c r="BN47" s="352"/>
      <c r="BO47" s="585">
        <f>+Worksheet!$N39</f>
        <v>0</v>
      </c>
      <c r="BP47" s="586"/>
      <c r="BQ47" s="587" t="s">
        <v>26</v>
      </c>
      <c r="BR47" s="588"/>
      <c r="BS47" s="589"/>
      <c r="BT47" s="390">
        <f>+Worksheet!$L39</f>
        <v>0</v>
      </c>
      <c r="BV47" s="590"/>
      <c r="BW47" s="591"/>
      <c r="BX47" s="581"/>
      <c r="BY47" s="581"/>
      <c r="BZ47" s="581"/>
      <c r="CA47" s="582"/>
    </row>
    <row r="48" spans="1:79" ht="18" x14ac:dyDescent="0.35">
      <c r="C48" s="392" t="s">
        <v>20</v>
      </c>
      <c r="D48" s="393" t="s">
        <v>27</v>
      </c>
      <c r="E48" s="594" t="s">
        <v>28</v>
      </c>
      <c r="F48" s="595"/>
      <c r="G48" s="596"/>
      <c r="H48" s="394" t="str">
        <f>+IF(Worksheet!$K19&gt;0,Worksheet!$K19,"NO facia")</f>
        <v>White</v>
      </c>
      <c r="J48" s="392" t="s">
        <v>20</v>
      </c>
      <c r="K48" s="393" t="s">
        <v>27</v>
      </c>
      <c r="L48" s="581"/>
      <c r="M48" s="581"/>
      <c r="N48" s="581"/>
      <c r="O48" s="582"/>
      <c r="P48" s="420"/>
      <c r="S48" s="392" t="s">
        <v>20</v>
      </c>
      <c r="T48" s="393" t="s">
        <v>27</v>
      </c>
      <c r="U48" s="594" t="s">
        <v>28</v>
      </c>
      <c r="V48" s="595"/>
      <c r="W48" s="596"/>
      <c r="X48" s="394" t="str">
        <f>+IF(Worksheet!$K24&gt;0,Worksheet!$K24,"NO facia")</f>
        <v>NO facia</v>
      </c>
      <c r="Z48" s="392" t="s">
        <v>20</v>
      </c>
      <c r="AA48" s="393" t="s">
        <v>27</v>
      </c>
      <c r="AB48" s="581"/>
      <c r="AC48" s="581"/>
      <c r="AD48" s="581"/>
      <c r="AE48" s="582"/>
      <c r="AF48" s="420"/>
      <c r="AI48" s="392" t="s">
        <v>20</v>
      </c>
      <c r="AJ48" s="393" t="s">
        <v>27</v>
      </c>
      <c r="AK48" s="594" t="s">
        <v>28</v>
      </c>
      <c r="AL48" s="595"/>
      <c r="AM48" s="596"/>
      <c r="AN48" s="394" t="str">
        <f>+IF(Worksheet!$K29&gt;0,Worksheet!$K29,"NO facia")</f>
        <v>NO facia</v>
      </c>
      <c r="AP48" s="392" t="s">
        <v>20</v>
      </c>
      <c r="AQ48" s="393" t="s">
        <v>27</v>
      </c>
      <c r="AR48" s="581"/>
      <c r="AS48" s="581"/>
      <c r="AT48" s="581"/>
      <c r="AU48" s="582"/>
      <c r="AV48" s="420"/>
      <c r="AY48" s="392" t="s">
        <v>20</v>
      </c>
      <c r="AZ48" s="393" t="s">
        <v>27</v>
      </c>
      <c r="BA48" s="594" t="s">
        <v>28</v>
      </c>
      <c r="BB48" s="595"/>
      <c r="BC48" s="596"/>
      <c r="BD48" s="394" t="str">
        <f>+IF(Worksheet!$K34&gt;0,Worksheet!$K34,"NO facia")</f>
        <v>NO facia</v>
      </c>
      <c r="BF48" s="392" t="s">
        <v>20</v>
      </c>
      <c r="BG48" s="393" t="s">
        <v>27</v>
      </c>
      <c r="BH48" s="581"/>
      <c r="BI48" s="581"/>
      <c r="BJ48" s="581"/>
      <c r="BK48" s="582"/>
      <c r="BL48" s="420"/>
      <c r="BO48" s="392" t="s">
        <v>20</v>
      </c>
      <c r="BP48" s="393" t="s">
        <v>27</v>
      </c>
      <c r="BQ48" s="594" t="s">
        <v>28</v>
      </c>
      <c r="BR48" s="595"/>
      <c r="BS48" s="596"/>
      <c r="BT48" s="394" t="str">
        <f>+IF(Worksheet!$K39&gt;0,Worksheet!$K39,"NO facia")</f>
        <v>NO facia</v>
      </c>
      <c r="BV48" s="392" t="s">
        <v>20</v>
      </c>
      <c r="BW48" s="393" t="s">
        <v>27</v>
      </c>
      <c r="BX48" s="581"/>
      <c r="BY48" s="581"/>
      <c r="BZ48" s="581"/>
      <c r="CA48" s="582"/>
    </row>
    <row r="49" spans="1:79" ht="31.2" x14ac:dyDescent="0.6">
      <c r="C49" s="395">
        <f>Worksheet!$AH19</f>
        <v>34.625</v>
      </c>
      <c r="D49" s="396">
        <f>ROUND(+F44+12,0)</f>
        <v>76</v>
      </c>
      <c r="E49" s="597" t="s">
        <v>29</v>
      </c>
      <c r="F49" s="598"/>
      <c r="G49" s="599"/>
      <c r="H49" s="394" t="str">
        <f>+IF(Worksheet!$K19&gt;0,"facia brkts","reg. brkts")</f>
        <v>facia brkts</v>
      </c>
      <c r="J49" s="395">
        <f>C49</f>
        <v>34.625</v>
      </c>
      <c r="K49" s="396">
        <f>D49</f>
        <v>76</v>
      </c>
      <c r="L49" s="583"/>
      <c r="M49" s="583"/>
      <c r="N49" s="583"/>
      <c r="O49" s="584"/>
      <c r="P49" s="420"/>
      <c r="S49" s="395">
        <f>Worksheet!$AH24</f>
        <v>-1.375</v>
      </c>
      <c r="T49" s="396">
        <f>ROUND(+V44+12,0)</f>
        <v>12</v>
      </c>
      <c r="U49" s="597" t="s">
        <v>29</v>
      </c>
      <c r="V49" s="598"/>
      <c r="W49" s="599"/>
      <c r="X49" s="394" t="str">
        <f>+IF(Worksheet!$K24&gt;0,"facia brkts","reg. brkts")</f>
        <v>reg. brkts</v>
      </c>
      <c r="Z49" s="395">
        <f>S49</f>
        <v>-1.375</v>
      </c>
      <c r="AA49" s="396">
        <f>T49</f>
        <v>12</v>
      </c>
      <c r="AB49" s="583"/>
      <c r="AC49" s="583"/>
      <c r="AD49" s="583"/>
      <c r="AE49" s="584"/>
      <c r="AF49" s="420"/>
      <c r="AI49" s="395">
        <f>Worksheet!$AH29</f>
        <v>-1.375</v>
      </c>
      <c r="AJ49" s="396">
        <f>ROUND(+AL44+12,0)</f>
        <v>12</v>
      </c>
      <c r="AK49" s="597" t="s">
        <v>29</v>
      </c>
      <c r="AL49" s="598"/>
      <c r="AM49" s="599"/>
      <c r="AN49" s="394" t="str">
        <f>+IF(Worksheet!$K29&gt;0,"facia brkts","reg. brkts")</f>
        <v>reg. brkts</v>
      </c>
      <c r="AP49" s="395">
        <f>AI49</f>
        <v>-1.375</v>
      </c>
      <c r="AQ49" s="396">
        <f>AJ49</f>
        <v>12</v>
      </c>
      <c r="AR49" s="583"/>
      <c r="AS49" s="583"/>
      <c r="AT49" s="583"/>
      <c r="AU49" s="584"/>
      <c r="AV49" s="420"/>
      <c r="AY49" s="395">
        <f>Worksheet!$AH34</f>
        <v>-1.375</v>
      </c>
      <c r="AZ49" s="396">
        <f>ROUND(+BB44+12,0)</f>
        <v>12</v>
      </c>
      <c r="BA49" s="597" t="s">
        <v>29</v>
      </c>
      <c r="BB49" s="598"/>
      <c r="BC49" s="599"/>
      <c r="BD49" s="394" t="str">
        <f>+IF(Worksheet!$K34&gt;0,"facia brkts","reg. brkts")</f>
        <v>reg. brkts</v>
      </c>
      <c r="BF49" s="395">
        <f>AY49</f>
        <v>-1.375</v>
      </c>
      <c r="BG49" s="396">
        <f>AZ49</f>
        <v>12</v>
      </c>
      <c r="BH49" s="583"/>
      <c r="BI49" s="583"/>
      <c r="BJ49" s="583"/>
      <c r="BK49" s="584"/>
      <c r="BL49" s="420"/>
      <c r="BO49" s="395">
        <f>Worksheet!$AH39</f>
        <v>-1.375</v>
      </c>
      <c r="BP49" s="396">
        <f>ROUND(+BR44+12,0)</f>
        <v>12</v>
      </c>
      <c r="BQ49" s="597" t="s">
        <v>29</v>
      </c>
      <c r="BR49" s="598"/>
      <c r="BS49" s="599"/>
      <c r="BT49" s="394" t="str">
        <f>+IF(Worksheet!$K39&gt;0,"facia brkts","reg. brkts")</f>
        <v>reg. brkts</v>
      </c>
      <c r="BV49" s="395">
        <f>BO49</f>
        <v>-1.375</v>
      </c>
      <c r="BW49" s="396">
        <f>BP49</f>
        <v>12</v>
      </c>
      <c r="BX49" s="583"/>
      <c r="BY49" s="583"/>
      <c r="BZ49" s="583"/>
      <c r="CA49" s="584"/>
    </row>
    <row r="50" spans="1:79" ht="31.8" thickBot="1" x14ac:dyDescent="0.65">
      <c r="C50" s="397"/>
      <c r="D50" s="398" t="str">
        <f>+IF($C44&gt;0,"ROLLERSHADE","do not use")</f>
        <v>ROLLERSHADE</v>
      </c>
      <c r="E50" s="399"/>
      <c r="F50" s="399"/>
      <c r="G50" s="399"/>
      <c r="H50" s="400"/>
      <c r="J50" s="401"/>
      <c r="K50" s="398" t="str">
        <f>+IF(C44&gt;0,"TUBE SIZE","do not use")</f>
        <v>TUBE SIZE</v>
      </c>
      <c r="L50" s="399"/>
      <c r="M50" s="408" t="str">
        <f>IF(K50="TUBE SIZE",C44,IF(Worksheet!E52="Fabric ONLY","Fabric ONLY"," "))</f>
        <v>Tube 1.5</v>
      </c>
      <c r="N50" s="399"/>
      <c r="O50" s="400"/>
      <c r="P50" s="384"/>
      <c r="S50" s="397"/>
      <c r="T50" s="398" t="str">
        <f>+IF($T44&gt;0,"ROLLERSHADE","do not use")</f>
        <v>do not use</v>
      </c>
      <c r="U50" s="399"/>
      <c r="V50" s="399"/>
      <c r="W50" s="399"/>
      <c r="X50" s="400"/>
      <c r="Z50" s="401"/>
      <c r="AA50" s="398" t="str">
        <f>+IF(S44&gt;0,"TUBE SIZE","do not use")</f>
        <v>do not use</v>
      </c>
      <c r="AB50" s="399"/>
      <c r="AC50" s="408" t="str">
        <f>IF(AA50="TUBE SIZE",S44,IF(Worksheet!U52="Fabric ONLY","Fabric ONLY"," "))</f>
        <v xml:space="preserve"> </v>
      </c>
      <c r="AD50" s="399"/>
      <c r="AE50" s="400"/>
      <c r="AF50" s="384"/>
      <c r="AI50" s="397"/>
      <c r="AJ50" s="398" t="str">
        <f>+IF($AI44&gt;0,"ROLLERSHADE","do not use")</f>
        <v>do not use</v>
      </c>
      <c r="AK50" s="399"/>
      <c r="AL50" s="399"/>
      <c r="AM50" s="399"/>
      <c r="AN50" s="400"/>
      <c r="AP50" s="401"/>
      <c r="AQ50" s="398" t="str">
        <f>+IF(AI44&gt;0,"TUBE SIZE","do not use")</f>
        <v>do not use</v>
      </c>
      <c r="AR50" s="399"/>
      <c r="AS50" s="408" t="str">
        <f>IF(AQ50="TUBE SIZE",AI44,IF(Worksheet!AR52="Fabric ONLY","Fabric ONLY"," "))</f>
        <v xml:space="preserve"> </v>
      </c>
      <c r="AT50" s="399"/>
      <c r="AU50" s="400"/>
      <c r="AV50" s="384"/>
      <c r="AY50" s="397"/>
      <c r="AZ50" s="398" t="str">
        <f>+IF($AY44&gt;0,"ROLLERSHADE","do not use")</f>
        <v>do not use</v>
      </c>
      <c r="BA50" s="399"/>
      <c r="BB50" s="399"/>
      <c r="BC50" s="399"/>
      <c r="BD50" s="400"/>
      <c r="BF50" s="401"/>
      <c r="BG50" s="398" t="str">
        <f>+IF(AY44&gt;0,"TUBE SIZE","do not use")</f>
        <v>do not use</v>
      </c>
      <c r="BH50" s="399"/>
      <c r="BI50" s="408" t="str">
        <f>IF(BG50="TUBE SIZE",AY44,IF(Worksheet!BH52="Fabric ONLY","Fabric ONLY"," "))</f>
        <v xml:space="preserve"> </v>
      </c>
      <c r="BJ50" s="399"/>
      <c r="BK50" s="400"/>
      <c r="BL50" s="384"/>
      <c r="BO50" s="397"/>
      <c r="BP50" s="398" t="str">
        <f>+IF($BO44&gt;0,"ROLLERSHADE","do not use")</f>
        <v>do not use</v>
      </c>
      <c r="BQ50" s="399"/>
      <c r="BR50" s="399"/>
      <c r="BS50" s="399"/>
      <c r="BT50" s="400"/>
      <c r="BV50" s="401"/>
      <c r="BW50" s="398" t="str">
        <f>+IF(BO44&gt;0,"TUBE SIZE","do not use")</f>
        <v>do not use</v>
      </c>
      <c r="BX50" s="399"/>
      <c r="BY50" s="408" t="str">
        <f>IF(BW50="TUBE SIZE",BO44,IF(Worksheet!BX52="Fabric ONLY","Fabric ONLY"," "))</f>
        <v xml:space="preserve"> </v>
      </c>
      <c r="BZ50" s="399"/>
      <c r="CA50" s="400"/>
    </row>
    <row r="51" spans="1:79" ht="63.75" customHeight="1" thickBot="1" x14ac:dyDescent="0.35">
      <c r="C51" s="384"/>
      <c r="D51" s="384"/>
      <c r="E51" s="384"/>
      <c r="F51" s="384"/>
      <c r="G51" s="384"/>
      <c r="H51" s="406"/>
      <c r="S51" s="384"/>
      <c r="T51" s="384"/>
      <c r="U51" s="384"/>
      <c r="V51" s="384"/>
      <c r="W51" s="384"/>
      <c r="X51" s="406"/>
      <c r="AI51" s="384"/>
      <c r="AJ51" s="384"/>
      <c r="AK51" s="384"/>
      <c r="AL51" s="384"/>
      <c r="AM51" s="384"/>
      <c r="AN51" s="406"/>
      <c r="AY51" s="384"/>
      <c r="AZ51" s="384"/>
      <c r="BA51" s="384"/>
      <c r="BB51" s="384"/>
      <c r="BC51" s="384"/>
      <c r="BD51" s="406"/>
      <c r="BO51" s="384"/>
      <c r="BP51" s="384"/>
      <c r="BQ51" s="384"/>
      <c r="BR51" s="384"/>
      <c r="BS51" s="384"/>
      <c r="BT51" s="406"/>
    </row>
    <row r="52" spans="1:79" ht="20.25" customHeight="1" thickBot="1" x14ac:dyDescent="0.7">
      <c r="A52" s="352" t="s">
        <v>52</v>
      </c>
      <c r="B52" s="352" t="s">
        <v>2485</v>
      </c>
      <c r="C52" s="359" t="s">
        <v>21</v>
      </c>
      <c r="D52" s="564">
        <f>+jobnumber</f>
        <v>33303</v>
      </c>
      <c r="E52" s="565"/>
      <c r="F52" s="565"/>
      <c r="G52" s="566"/>
      <c r="H52" s="567" t="str">
        <f>+Worksheet!$B20</f>
        <v>P1-RS5</v>
      </c>
      <c r="J52" s="359" t="s">
        <v>21</v>
      </c>
      <c r="K52" s="360">
        <f>+jobnumber</f>
        <v>33303</v>
      </c>
      <c r="L52" s="361"/>
      <c r="M52" s="361"/>
      <c r="N52" s="361"/>
      <c r="O52" s="567" t="str">
        <f>+H52</f>
        <v>P1-RS5</v>
      </c>
      <c r="P52" s="362"/>
      <c r="Q52" s="352" t="s">
        <v>57</v>
      </c>
      <c r="R52" s="352" t="s">
        <v>2490</v>
      </c>
      <c r="S52" s="359" t="s">
        <v>21</v>
      </c>
      <c r="T52" s="564">
        <f>+jobnumber</f>
        <v>33303</v>
      </c>
      <c r="U52" s="565"/>
      <c r="V52" s="565"/>
      <c r="W52" s="566"/>
      <c r="X52" s="567" t="str">
        <f>+Worksheet!$B25</f>
        <v>P1-RS10</v>
      </c>
      <c r="Z52" s="359" t="s">
        <v>21</v>
      </c>
      <c r="AA52" s="360">
        <f>+jobnumber</f>
        <v>33303</v>
      </c>
      <c r="AB52" s="361"/>
      <c r="AC52" s="361"/>
      <c r="AD52" s="361"/>
      <c r="AE52" s="567" t="str">
        <f>+X52</f>
        <v>P1-RS10</v>
      </c>
      <c r="AF52" s="362"/>
      <c r="AG52" s="352" t="s">
        <v>63</v>
      </c>
      <c r="AH52" s="352" t="s">
        <v>2495</v>
      </c>
      <c r="AI52" s="359" t="s">
        <v>21</v>
      </c>
      <c r="AJ52" s="564">
        <f>+jobnumber</f>
        <v>33303</v>
      </c>
      <c r="AK52" s="565"/>
      <c r="AL52" s="565"/>
      <c r="AM52" s="566"/>
      <c r="AN52" s="567" t="str">
        <f>+Worksheet!$B30</f>
        <v>P1-RS15</v>
      </c>
      <c r="AP52" s="359" t="s">
        <v>21</v>
      </c>
      <c r="AQ52" s="360">
        <f>+jobnumber</f>
        <v>33303</v>
      </c>
      <c r="AR52" s="361"/>
      <c r="AS52" s="361"/>
      <c r="AT52" s="361"/>
      <c r="AU52" s="567" t="str">
        <f>+AN52</f>
        <v>P1-RS15</v>
      </c>
      <c r="AV52" s="362"/>
      <c r="AW52" s="352" t="s">
        <v>68</v>
      </c>
      <c r="AX52" s="352" t="s">
        <v>2500</v>
      </c>
      <c r="AY52" s="359" t="s">
        <v>21</v>
      </c>
      <c r="AZ52" s="564">
        <f>+jobnumber</f>
        <v>33303</v>
      </c>
      <c r="BA52" s="565"/>
      <c r="BB52" s="565"/>
      <c r="BC52" s="566"/>
      <c r="BD52" s="567" t="str">
        <f>+Worksheet!$B35</f>
        <v>P1-RS20</v>
      </c>
      <c r="BF52" s="359" t="s">
        <v>21</v>
      </c>
      <c r="BG52" s="360">
        <f>+jobnumber</f>
        <v>33303</v>
      </c>
      <c r="BH52" s="361"/>
      <c r="BI52" s="361"/>
      <c r="BJ52" s="361"/>
      <c r="BK52" s="567" t="str">
        <f>+BD52</f>
        <v>P1-RS20</v>
      </c>
      <c r="BL52" s="362"/>
      <c r="BM52" s="352" t="s">
        <v>181</v>
      </c>
      <c r="BN52" s="352" t="s">
        <v>2505</v>
      </c>
      <c r="BO52" s="359" t="s">
        <v>21</v>
      </c>
      <c r="BP52" s="564">
        <f>+jobnumber</f>
        <v>33303</v>
      </c>
      <c r="BQ52" s="565"/>
      <c r="BR52" s="565"/>
      <c r="BS52" s="566"/>
      <c r="BT52" s="567" t="str">
        <f>+Worksheet!$B40</f>
        <v>P1-RS25</v>
      </c>
      <c r="BV52" s="359" t="s">
        <v>21</v>
      </c>
      <c r="BW52" s="360">
        <f>+jobnumber</f>
        <v>33303</v>
      </c>
      <c r="BX52" s="361"/>
      <c r="BY52" s="361"/>
      <c r="BZ52" s="361"/>
      <c r="CA52" s="567" t="str">
        <f>+BT52</f>
        <v>P1-RS25</v>
      </c>
    </row>
    <row r="53" spans="1:79" ht="20.25" customHeight="1" thickBot="1" x14ac:dyDescent="0.7">
      <c r="C53" s="363" t="s">
        <v>2626</v>
      </c>
      <c r="D53" s="569" t="str">
        <f>+_xlfn.SINGLE(bill_name)</f>
        <v>JLL</v>
      </c>
      <c r="E53" s="570"/>
      <c r="F53" s="570"/>
      <c r="G53" s="571"/>
      <c r="H53" s="568"/>
      <c r="J53" s="365" t="s">
        <v>22</v>
      </c>
      <c r="K53" s="366" t="str">
        <f>+_xlfn.SINGLE(bill_name)</f>
        <v>JLL</v>
      </c>
      <c r="L53" s="367"/>
      <c r="M53" s="367"/>
      <c r="N53" s="367"/>
      <c r="O53" s="568"/>
      <c r="P53" s="362"/>
      <c r="S53" s="363" t="s">
        <v>2626</v>
      </c>
      <c r="T53" s="569" t="str">
        <f>+_xlfn.SINGLE(bill_name)</f>
        <v>JLL</v>
      </c>
      <c r="U53" s="570"/>
      <c r="V53" s="570"/>
      <c r="W53" s="571"/>
      <c r="X53" s="568"/>
      <c r="Z53" s="365" t="s">
        <v>22</v>
      </c>
      <c r="AA53" s="366" t="str">
        <f>+_xlfn.SINGLE(bill_name)</f>
        <v>JLL</v>
      </c>
      <c r="AB53" s="367"/>
      <c r="AC53" s="367"/>
      <c r="AD53" s="367"/>
      <c r="AE53" s="568"/>
      <c r="AF53" s="362"/>
      <c r="AI53" s="363" t="s">
        <v>2626</v>
      </c>
      <c r="AJ53" s="569" t="str">
        <f>+_xlfn.SINGLE(bill_name)</f>
        <v>JLL</v>
      </c>
      <c r="AK53" s="570"/>
      <c r="AL53" s="570"/>
      <c r="AM53" s="571"/>
      <c r="AN53" s="568"/>
      <c r="AP53" s="365" t="s">
        <v>22</v>
      </c>
      <c r="AQ53" s="366" t="str">
        <f>+_xlfn.SINGLE(bill_name)</f>
        <v>JLL</v>
      </c>
      <c r="AR53" s="367"/>
      <c r="AS53" s="367"/>
      <c r="AT53" s="367"/>
      <c r="AU53" s="568"/>
      <c r="AV53" s="362"/>
      <c r="AY53" s="363" t="s">
        <v>2626</v>
      </c>
      <c r="AZ53" s="569" t="str">
        <f>+_xlfn.SINGLE(bill_name)</f>
        <v>JLL</v>
      </c>
      <c r="BA53" s="570"/>
      <c r="BB53" s="570"/>
      <c r="BC53" s="571"/>
      <c r="BD53" s="568"/>
      <c r="BF53" s="365" t="s">
        <v>22</v>
      </c>
      <c r="BG53" s="366" t="str">
        <f>+_xlfn.SINGLE(bill_name)</f>
        <v>JLL</v>
      </c>
      <c r="BH53" s="367"/>
      <c r="BI53" s="367"/>
      <c r="BJ53" s="367"/>
      <c r="BK53" s="568"/>
      <c r="BL53" s="362"/>
      <c r="BO53" s="363" t="s">
        <v>2626</v>
      </c>
      <c r="BP53" s="569" t="str">
        <f>+_xlfn.SINGLE(bill_name)</f>
        <v>JLL</v>
      </c>
      <c r="BQ53" s="570"/>
      <c r="BR53" s="570"/>
      <c r="BS53" s="571"/>
      <c r="BT53" s="568"/>
      <c r="BV53" s="365" t="s">
        <v>22</v>
      </c>
      <c r="BW53" s="366" t="str">
        <f>+_xlfn.SINGLE(bill_name)</f>
        <v>JLL</v>
      </c>
      <c r="BX53" s="367"/>
      <c r="BY53" s="367"/>
      <c r="BZ53" s="367"/>
      <c r="CA53" s="568"/>
    </row>
    <row r="54" spans="1:79" s="364" customFormat="1" ht="21" x14ac:dyDescent="0.4">
      <c r="A54" s="352"/>
      <c r="B54" s="352"/>
      <c r="C54" s="368" t="s">
        <v>2627</v>
      </c>
      <c r="D54" s="572" t="str">
        <f>+jobname</f>
        <v>Cottonwood Creek WO#I5187109-00104</v>
      </c>
      <c r="E54" s="573"/>
      <c r="F54" s="573"/>
      <c r="G54" s="573"/>
      <c r="H54" s="574"/>
      <c r="J54" s="369" t="s">
        <v>78</v>
      </c>
      <c r="K54" s="577" t="str">
        <f>+jobname</f>
        <v>Cottonwood Creek WO#I5187109-00104</v>
      </c>
      <c r="L54" s="578"/>
      <c r="M54" s="578"/>
      <c r="N54" s="578"/>
      <c r="O54" s="579"/>
      <c r="P54" s="373"/>
      <c r="Q54" s="352"/>
      <c r="R54" s="352"/>
      <c r="S54" s="368" t="s">
        <v>2627</v>
      </c>
      <c r="T54" s="572" t="str">
        <f>+jobname</f>
        <v>Cottonwood Creek WO#I5187109-00104</v>
      </c>
      <c r="U54" s="573"/>
      <c r="V54" s="573"/>
      <c r="W54" s="573"/>
      <c r="X54" s="574"/>
      <c r="Z54" s="369" t="s">
        <v>78</v>
      </c>
      <c r="AA54" s="370" t="str">
        <f>+jobname</f>
        <v>Cottonwood Creek WO#I5187109-00104</v>
      </c>
      <c r="AB54" s="371"/>
      <c r="AC54" s="371"/>
      <c r="AD54" s="371"/>
      <c r="AE54" s="372"/>
      <c r="AF54" s="373"/>
      <c r="AG54" s="352"/>
      <c r="AH54" s="352"/>
      <c r="AI54" s="368" t="s">
        <v>2627</v>
      </c>
      <c r="AJ54" s="572" t="str">
        <f>+jobname</f>
        <v>Cottonwood Creek WO#I5187109-00104</v>
      </c>
      <c r="AK54" s="573"/>
      <c r="AL54" s="573"/>
      <c r="AM54" s="573"/>
      <c r="AN54" s="574"/>
      <c r="AP54" s="369" t="s">
        <v>78</v>
      </c>
      <c r="AQ54" s="370" t="str">
        <f>+jobname</f>
        <v>Cottonwood Creek WO#I5187109-00104</v>
      </c>
      <c r="AR54" s="371"/>
      <c r="AS54" s="371"/>
      <c r="AT54" s="371"/>
      <c r="AU54" s="372"/>
      <c r="AV54" s="373"/>
      <c r="AW54" s="352"/>
      <c r="AX54" s="352"/>
      <c r="AY54" s="368" t="s">
        <v>2627</v>
      </c>
      <c r="AZ54" s="572" t="str">
        <f>+jobname</f>
        <v>Cottonwood Creek WO#I5187109-00104</v>
      </c>
      <c r="BA54" s="573"/>
      <c r="BB54" s="573"/>
      <c r="BC54" s="573"/>
      <c r="BD54" s="574"/>
      <c r="BF54" s="369" t="s">
        <v>78</v>
      </c>
      <c r="BG54" s="370" t="str">
        <f>+jobname</f>
        <v>Cottonwood Creek WO#I5187109-00104</v>
      </c>
      <c r="BH54" s="371"/>
      <c r="BI54" s="371"/>
      <c r="BJ54" s="371"/>
      <c r="BK54" s="372"/>
      <c r="BL54" s="373"/>
      <c r="BM54" s="352"/>
      <c r="BN54" s="352"/>
      <c r="BO54" s="368" t="s">
        <v>2627</v>
      </c>
      <c r="BP54" s="572" t="str">
        <f>+jobname</f>
        <v>Cottonwood Creek WO#I5187109-00104</v>
      </c>
      <c r="BQ54" s="573"/>
      <c r="BR54" s="573"/>
      <c r="BS54" s="573"/>
      <c r="BT54" s="574"/>
      <c r="BV54" s="369" t="s">
        <v>78</v>
      </c>
      <c r="BW54" s="370" t="str">
        <f>+jobname</f>
        <v>Cottonwood Creek WO#I5187109-00104</v>
      </c>
      <c r="BX54" s="371"/>
      <c r="BY54" s="371"/>
      <c r="BZ54" s="371"/>
      <c r="CA54" s="372"/>
    </row>
    <row r="55" spans="1:79" s="364" customFormat="1" ht="18" x14ac:dyDescent="0.35">
      <c r="A55" s="352"/>
      <c r="B55" s="352"/>
      <c r="C55" s="374" t="s">
        <v>23</v>
      </c>
      <c r="D55" s="575" t="str">
        <f>+Worksheet!$C20</f>
        <v>Room 104</v>
      </c>
      <c r="E55" s="576"/>
      <c r="F55" s="576"/>
      <c r="G55" s="371"/>
      <c r="H55" s="375" t="str">
        <f>+IF(Worksheet!$O$9=1,"Install",IF(Worksheet!$O$9=2,"Deliver",IF(Worksheet!$O$9=3,"Will Call",0)))</f>
        <v>Install</v>
      </c>
      <c r="J55" s="374" t="s">
        <v>23</v>
      </c>
      <c r="K55" s="373" t="str">
        <f>D55</f>
        <v>Room 104</v>
      </c>
      <c r="L55" s="371"/>
      <c r="M55" s="371"/>
      <c r="N55" s="371"/>
      <c r="O55" s="376" t="str">
        <f>H55</f>
        <v>Install</v>
      </c>
      <c r="P55" s="373"/>
      <c r="Q55" s="352"/>
      <c r="R55" s="352"/>
      <c r="S55" s="374" t="s">
        <v>23</v>
      </c>
      <c r="T55" s="575">
        <f>+Worksheet!$C25</f>
        <v>0</v>
      </c>
      <c r="U55" s="576"/>
      <c r="V55" s="576"/>
      <c r="W55" s="371"/>
      <c r="X55" s="375" t="str">
        <f>+IF(Worksheet!$O$9=1,"Install",IF(Worksheet!$O$9=2,"Deliver",IF(Worksheet!$O$9=3,"Will Call",0)))</f>
        <v>Install</v>
      </c>
      <c r="Z55" s="374" t="s">
        <v>23</v>
      </c>
      <c r="AA55" s="373">
        <f>T55</f>
        <v>0</v>
      </c>
      <c r="AB55" s="371"/>
      <c r="AC55" s="371"/>
      <c r="AD55" s="371"/>
      <c r="AE55" s="376" t="str">
        <f>X55</f>
        <v>Install</v>
      </c>
      <c r="AF55" s="373"/>
      <c r="AG55" s="352"/>
      <c r="AH55" s="352"/>
      <c r="AI55" s="374" t="s">
        <v>23</v>
      </c>
      <c r="AJ55" s="575">
        <f>+Worksheet!$C30</f>
        <v>0</v>
      </c>
      <c r="AK55" s="576"/>
      <c r="AL55" s="576"/>
      <c r="AM55" s="371"/>
      <c r="AN55" s="375" t="str">
        <f>+IF(Worksheet!$O$9=1,"Install",IF(Worksheet!$O$9=2,"Deliver",IF(Worksheet!$O$9=3,"Will Call",0)))</f>
        <v>Install</v>
      </c>
      <c r="AP55" s="374" t="s">
        <v>23</v>
      </c>
      <c r="AQ55" s="373">
        <f>AJ55</f>
        <v>0</v>
      </c>
      <c r="AR55" s="371"/>
      <c r="AS55" s="371"/>
      <c r="AT55" s="371"/>
      <c r="AU55" s="376" t="str">
        <f>AN55</f>
        <v>Install</v>
      </c>
      <c r="AV55" s="373"/>
      <c r="AW55" s="352"/>
      <c r="AX55" s="352"/>
      <c r="AY55" s="374" t="s">
        <v>23</v>
      </c>
      <c r="AZ55" s="575">
        <f>+Worksheet!$C35</f>
        <v>0</v>
      </c>
      <c r="BA55" s="576"/>
      <c r="BB55" s="576"/>
      <c r="BC55" s="371"/>
      <c r="BD55" s="375" t="str">
        <f>+IF(Worksheet!$O$9=1,"Install",IF(Worksheet!$O$9=2,"Deliver",IF(Worksheet!$O$9=3,"Will Call",0)))</f>
        <v>Install</v>
      </c>
      <c r="BF55" s="374" t="s">
        <v>23</v>
      </c>
      <c r="BG55" s="373">
        <f>AZ55</f>
        <v>0</v>
      </c>
      <c r="BH55" s="371"/>
      <c r="BI55" s="371"/>
      <c r="BJ55" s="371"/>
      <c r="BK55" s="376" t="str">
        <f>BD55</f>
        <v>Install</v>
      </c>
      <c r="BL55" s="373"/>
      <c r="BM55" s="352"/>
      <c r="BN55" s="352"/>
      <c r="BO55" s="374" t="s">
        <v>23</v>
      </c>
      <c r="BP55" s="575">
        <f>+Worksheet!$C40</f>
        <v>0</v>
      </c>
      <c r="BQ55" s="576"/>
      <c r="BR55" s="576"/>
      <c r="BS55" s="371"/>
      <c r="BT55" s="375" t="str">
        <f>+IF(Worksheet!$O$9=1,"Install",IF(Worksheet!$O$9=2,"Deliver",IF(Worksheet!$O$9=3,"Will Call",0)))</f>
        <v>Install</v>
      </c>
      <c r="BV55" s="374" t="s">
        <v>23</v>
      </c>
      <c r="BW55" s="373">
        <f>BP55</f>
        <v>0</v>
      </c>
      <c r="BX55" s="371"/>
      <c r="BY55" s="371"/>
      <c r="BZ55" s="371"/>
      <c r="CA55" s="376" t="str">
        <f>BT55</f>
        <v>Install</v>
      </c>
    </row>
    <row r="56" spans="1:79" s="364" customFormat="1" ht="18" x14ac:dyDescent="0.35">
      <c r="A56" s="352"/>
      <c r="B56" s="352"/>
      <c r="C56" s="377" t="str">
        <f>+IF(Worksheet!$D20&gt;0,Worksheet!$E20,0)</f>
        <v>Tube 1.5</v>
      </c>
      <c r="D56" s="378">
        <f>+Worksheet!$F20</f>
        <v>35.75</v>
      </c>
      <c r="E56" s="379" t="s">
        <v>4</v>
      </c>
      <c r="F56" s="378">
        <f>+Worksheet!$H20</f>
        <v>64</v>
      </c>
      <c r="G56" s="380"/>
      <c r="H56" s="381" t="str">
        <f>+Worksheet!$I20</f>
        <v>IB</v>
      </c>
      <c r="J56" s="377"/>
      <c r="N56" s="380"/>
      <c r="O56" s="381" t="str">
        <f>H56</f>
        <v>IB</v>
      </c>
      <c r="P56" s="382"/>
      <c r="Q56" s="352"/>
      <c r="R56" s="352"/>
      <c r="S56" s="377">
        <f>+IF(Worksheet!$D25&gt;0,Worksheet!$E25,0)</f>
        <v>0</v>
      </c>
      <c r="T56" s="378">
        <f>+Worksheet!$F25</f>
        <v>0</v>
      </c>
      <c r="U56" s="379" t="s">
        <v>4</v>
      </c>
      <c r="V56" s="378">
        <f>+Worksheet!$H25</f>
        <v>0</v>
      </c>
      <c r="W56" s="380"/>
      <c r="X56" s="381">
        <f>+Worksheet!$I25</f>
        <v>0</v>
      </c>
      <c r="Z56" s="377"/>
      <c r="AD56" s="380"/>
      <c r="AE56" s="381">
        <f>X56</f>
        <v>0</v>
      </c>
      <c r="AF56" s="382"/>
      <c r="AG56" s="352"/>
      <c r="AH56" s="352"/>
      <c r="AI56" s="377">
        <f>+IF(Worksheet!$D30&gt;0,Worksheet!$E30,0)</f>
        <v>0</v>
      </c>
      <c r="AJ56" s="378">
        <f>+Worksheet!$F30</f>
        <v>0</v>
      </c>
      <c r="AK56" s="379" t="s">
        <v>4</v>
      </c>
      <c r="AL56" s="378">
        <f>+Worksheet!$H30</f>
        <v>0</v>
      </c>
      <c r="AM56" s="380"/>
      <c r="AN56" s="381">
        <f>+Worksheet!$I30</f>
        <v>0</v>
      </c>
      <c r="AP56" s="377"/>
      <c r="AT56" s="380"/>
      <c r="AU56" s="381">
        <f>AN56</f>
        <v>0</v>
      </c>
      <c r="AV56" s="382"/>
      <c r="AW56" s="352"/>
      <c r="AX56" s="352"/>
      <c r="AY56" s="377">
        <f>+IF(Worksheet!$D35&gt;0,Worksheet!$E35,0)</f>
        <v>0</v>
      </c>
      <c r="AZ56" s="378">
        <f>+Worksheet!$F35</f>
        <v>0</v>
      </c>
      <c r="BA56" s="379" t="s">
        <v>4</v>
      </c>
      <c r="BB56" s="378">
        <f>+Worksheet!$H35</f>
        <v>0</v>
      </c>
      <c r="BC56" s="380"/>
      <c r="BD56" s="381">
        <f>+Worksheet!$I35</f>
        <v>0</v>
      </c>
      <c r="BF56" s="377"/>
      <c r="BJ56" s="380"/>
      <c r="BK56" s="381">
        <f>BD56</f>
        <v>0</v>
      </c>
      <c r="BL56" s="382"/>
      <c r="BM56" s="352"/>
      <c r="BN56" s="352"/>
      <c r="BO56" s="377">
        <f>+IF(Worksheet!$D40&gt;0,Worksheet!$E40,0)</f>
        <v>0</v>
      </c>
      <c r="BP56" s="378">
        <f>+Worksheet!$F40</f>
        <v>0</v>
      </c>
      <c r="BQ56" s="379" t="s">
        <v>4</v>
      </c>
      <c r="BR56" s="378">
        <f>+Worksheet!$H40</f>
        <v>0</v>
      </c>
      <c r="BS56" s="380"/>
      <c r="BT56" s="381">
        <f>+Worksheet!$I40</f>
        <v>0</v>
      </c>
      <c r="BV56" s="377"/>
      <c r="BZ56" s="380"/>
      <c r="CA56" s="381">
        <f>BT56</f>
        <v>0</v>
      </c>
    </row>
    <row r="57" spans="1:79" ht="18" x14ac:dyDescent="0.35">
      <c r="C57" s="383" t="s">
        <v>19</v>
      </c>
      <c r="D57" s="592" t="str">
        <f>+Worksheet!$M20</f>
        <v>Panta Flex Linen</v>
      </c>
      <c r="E57" s="593"/>
      <c r="F57" s="593"/>
      <c r="G57" s="384"/>
      <c r="H57" s="385"/>
      <c r="J57" s="374" t="s">
        <v>2594</v>
      </c>
      <c r="K57" s="378">
        <f>D56</f>
        <v>35.75</v>
      </c>
      <c r="L57" s="378" t="str">
        <f>+E56</f>
        <v>X</v>
      </c>
      <c r="M57" s="378">
        <f>F56</f>
        <v>64</v>
      </c>
      <c r="N57" s="384"/>
      <c r="O57" s="385"/>
      <c r="P57" s="384"/>
      <c r="S57" s="383" t="s">
        <v>19</v>
      </c>
      <c r="T57" s="592">
        <f>+Worksheet!$M25</f>
        <v>0</v>
      </c>
      <c r="U57" s="593"/>
      <c r="V57" s="593"/>
      <c r="W57" s="384"/>
      <c r="X57" s="385"/>
      <c r="Z57" s="374" t="s">
        <v>2594</v>
      </c>
      <c r="AA57" s="378">
        <f>T56</f>
        <v>0</v>
      </c>
      <c r="AB57" s="378" t="str">
        <f>+U56</f>
        <v>X</v>
      </c>
      <c r="AC57" s="378">
        <f>V56</f>
        <v>0</v>
      </c>
      <c r="AD57" s="384"/>
      <c r="AE57" s="385"/>
      <c r="AF57" s="384"/>
      <c r="AI57" s="383" t="s">
        <v>19</v>
      </c>
      <c r="AJ57" s="592">
        <f>+Worksheet!$M30</f>
        <v>0</v>
      </c>
      <c r="AK57" s="593"/>
      <c r="AL57" s="593"/>
      <c r="AM57" s="384"/>
      <c r="AN57" s="385"/>
      <c r="AP57" s="374" t="s">
        <v>2594</v>
      </c>
      <c r="AQ57" s="378">
        <f>AJ56</f>
        <v>0</v>
      </c>
      <c r="AR57" s="378" t="str">
        <f>+AK56</f>
        <v>X</v>
      </c>
      <c r="AS57" s="378">
        <f>AL56</f>
        <v>0</v>
      </c>
      <c r="AT57" s="384"/>
      <c r="AU57" s="385"/>
      <c r="AV57" s="384"/>
      <c r="AY57" s="383" t="s">
        <v>19</v>
      </c>
      <c r="AZ57" s="592">
        <f>+Worksheet!$M35</f>
        <v>0</v>
      </c>
      <c r="BA57" s="593"/>
      <c r="BB57" s="593"/>
      <c r="BC57" s="384"/>
      <c r="BD57" s="385"/>
      <c r="BF57" s="374" t="s">
        <v>2594</v>
      </c>
      <c r="BG57" s="378">
        <f>AZ56</f>
        <v>0</v>
      </c>
      <c r="BH57" s="378" t="str">
        <f>+BA56</f>
        <v>X</v>
      </c>
      <c r="BI57" s="378">
        <f>BB56</f>
        <v>0</v>
      </c>
      <c r="BJ57" s="384"/>
      <c r="BK57" s="385"/>
      <c r="BL57" s="384"/>
      <c r="BO57" s="383" t="s">
        <v>19</v>
      </c>
      <c r="BP57" s="592">
        <f>+Worksheet!$M40</f>
        <v>0</v>
      </c>
      <c r="BQ57" s="593"/>
      <c r="BR57" s="593"/>
      <c r="BS57" s="384"/>
      <c r="BT57" s="385"/>
      <c r="BV57" s="374" t="s">
        <v>2594</v>
      </c>
      <c r="BW57" s="378">
        <f>BP56</f>
        <v>0</v>
      </c>
      <c r="BX57" s="378" t="str">
        <f>+BQ56</f>
        <v>X</v>
      </c>
      <c r="BY57" s="378">
        <f>BR56</f>
        <v>0</v>
      </c>
      <c r="BZ57" s="384"/>
      <c r="CA57" s="385"/>
    </row>
    <row r="58" spans="1:79" ht="18" x14ac:dyDescent="0.35">
      <c r="C58" s="386" t="s">
        <v>24</v>
      </c>
      <c r="D58" s="387" t="str">
        <f>+IF(Worksheet!$O20="V","fabric verticle",IF(Worksheet!$O20="RR","fabric Railroad",0))</f>
        <v>fabric verticle</v>
      </c>
      <c r="E58" s="594" t="s">
        <v>25</v>
      </c>
      <c r="F58" s="595"/>
      <c r="G58" s="596"/>
      <c r="H58" s="388" t="str">
        <f>+IF(Worksheet!$J20&gt;0,Worksheet!$J20,"NO")</f>
        <v>NO</v>
      </c>
      <c r="J58" s="377"/>
      <c r="K58" s="389"/>
      <c r="L58" s="580" t="s">
        <v>2593</v>
      </c>
      <c r="M58" s="581"/>
      <c r="N58" s="581"/>
      <c r="O58" s="582"/>
      <c r="P58" s="420"/>
      <c r="S58" s="386" t="s">
        <v>24</v>
      </c>
      <c r="T58" s="387">
        <f>+IF(Worksheet!$O25="V","fabric verticle",IF(Worksheet!$O25="RR","fabric Railroad",0))</f>
        <v>0</v>
      </c>
      <c r="U58" s="594" t="s">
        <v>25</v>
      </c>
      <c r="V58" s="595"/>
      <c r="W58" s="596"/>
      <c r="X58" s="388" t="str">
        <f>+IF(Worksheet!$J25&gt;0,Worksheet!$J25,"NO")</f>
        <v>NO</v>
      </c>
      <c r="Z58" s="377"/>
      <c r="AA58" s="389"/>
      <c r="AB58" s="580" t="s">
        <v>2593</v>
      </c>
      <c r="AC58" s="581"/>
      <c r="AD58" s="581"/>
      <c r="AE58" s="582"/>
      <c r="AF58" s="420"/>
      <c r="AI58" s="386" t="s">
        <v>24</v>
      </c>
      <c r="AJ58" s="387">
        <f>+IF(Worksheet!$O30="V","fabric verticle",IF(Worksheet!$O30="RR","fabric Railroad",0))</f>
        <v>0</v>
      </c>
      <c r="AK58" s="594" t="s">
        <v>25</v>
      </c>
      <c r="AL58" s="595"/>
      <c r="AM58" s="596"/>
      <c r="AN58" s="388" t="str">
        <f>+IF(Worksheet!$J30&gt;0,Worksheet!$J30,"NO")</f>
        <v>NO</v>
      </c>
      <c r="AP58" s="377"/>
      <c r="AQ58" s="389"/>
      <c r="AR58" s="580" t="s">
        <v>2593</v>
      </c>
      <c r="AS58" s="581"/>
      <c r="AT58" s="581"/>
      <c r="AU58" s="582"/>
      <c r="AV58" s="420"/>
      <c r="AY58" s="386" t="s">
        <v>24</v>
      </c>
      <c r="AZ58" s="387">
        <f>+IF(Worksheet!$O35="V","fabric verticle",IF(Worksheet!$O35="RR","fabric Railroad",0))</f>
        <v>0</v>
      </c>
      <c r="BA58" s="594" t="s">
        <v>25</v>
      </c>
      <c r="BB58" s="595"/>
      <c r="BC58" s="596"/>
      <c r="BD58" s="388" t="str">
        <f>+IF(Worksheet!$J35&gt;0,Worksheet!$J35,"NO")</f>
        <v>NO</v>
      </c>
      <c r="BF58" s="377"/>
      <c r="BG58" s="389"/>
      <c r="BH58" s="580" t="s">
        <v>2593</v>
      </c>
      <c r="BI58" s="581"/>
      <c r="BJ58" s="581"/>
      <c r="BK58" s="582"/>
      <c r="BL58" s="420"/>
      <c r="BO58" s="386" t="s">
        <v>24</v>
      </c>
      <c r="BP58" s="387">
        <f>+IF(Worksheet!$O40="V","fabric verticle",IF(Worksheet!$O40="RR","fabric Railroad",0))</f>
        <v>0</v>
      </c>
      <c r="BQ58" s="594" t="s">
        <v>25</v>
      </c>
      <c r="BR58" s="595"/>
      <c r="BS58" s="596"/>
      <c r="BT58" s="388" t="str">
        <f>+IF(Worksheet!$J40&gt;0,Worksheet!$J40,"NO")</f>
        <v>NO</v>
      </c>
      <c r="BV58" s="377"/>
      <c r="BW58" s="389"/>
      <c r="BX58" s="580" t="s">
        <v>2593</v>
      </c>
      <c r="BY58" s="581"/>
      <c r="BZ58" s="581"/>
      <c r="CA58" s="582"/>
    </row>
    <row r="59" spans="1:79" s="391" customFormat="1" x14ac:dyDescent="0.3">
      <c r="A59" s="352"/>
      <c r="B59" s="352"/>
      <c r="C59" s="585" t="str">
        <f>+Worksheet!$N20</f>
        <v>SAVE RODS</v>
      </c>
      <c r="D59" s="586"/>
      <c r="E59" s="587" t="s">
        <v>26</v>
      </c>
      <c r="F59" s="588"/>
      <c r="G59" s="589"/>
      <c r="H59" s="390" t="str">
        <f>+Worksheet!$L20</f>
        <v>seamed</v>
      </c>
      <c r="J59" s="590"/>
      <c r="K59" s="591"/>
      <c r="L59" s="581"/>
      <c r="M59" s="581"/>
      <c r="N59" s="581"/>
      <c r="O59" s="582"/>
      <c r="P59" s="420"/>
      <c r="Q59" s="352"/>
      <c r="R59" s="352"/>
      <c r="S59" s="585">
        <f>+Worksheet!$N25</f>
        <v>0</v>
      </c>
      <c r="T59" s="586"/>
      <c r="U59" s="587" t="s">
        <v>26</v>
      </c>
      <c r="V59" s="588"/>
      <c r="W59" s="589"/>
      <c r="X59" s="390">
        <f>+Worksheet!$L25</f>
        <v>0</v>
      </c>
      <c r="Z59" s="590"/>
      <c r="AA59" s="591"/>
      <c r="AB59" s="581"/>
      <c r="AC59" s="581"/>
      <c r="AD59" s="581"/>
      <c r="AE59" s="582"/>
      <c r="AF59" s="420"/>
      <c r="AG59" s="352"/>
      <c r="AH59" s="352"/>
      <c r="AI59" s="585">
        <f>+Worksheet!$N30</f>
        <v>0</v>
      </c>
      <c r="AJ59" s="586"/>
      <c r="AK59" s="587" t="s">
        <v>26</v>
      </c>
      <c r="AL59" s="588"/>
      <c r="AM59" s="589"/>
      <c r="AN59" s="390">
        <f>+Worksheet!$L30</f>
        <v>0</v>
      </c>
      <c r="AP59" s="590"/>
      <c r="AQ59" s="591"/>
      <c r="AR59" s="581"/>
      <c r="AS59" s="581"/>
      <c r="AT59" s="581"/>
      <c r="AU59" s="582"/>
      <c r="AV59" s="420"/>
      <c r="AW59" s="352"/>
      <c r="AX59" s="352"/>
      <c r="AY59" s="585">
        <f>+Worksheet!$N35</f>
        <v>0</v>
      </c>
      <c r="AZ59" s="586"/>
      <c r="BA59" s="587" t="s">
        <v>26</v>
      </c>
      <c r="BB59" s="588"/>
      <c r="BC59" s="589"/>
      <c r="BD59" s="390">
        <f>+Worksheet!$L35</f>
        <v>0</v>
      </c>
      <c r="BF59" s="590"/>
      <c r="BG59" s="591"/>
      <c r="BH59" s="581"/>
      <c r="BI59" s="581"/>
      <c r="BJ59" s="581"/>
      <c r="BK59" s="582"/>
      <c r="BL59" s="420"/>
      <c r="BM59" s="352"/>
      <c r="BN59" s="352"/>
      <c r="BO59" s="585">
        <f>+Worksheet!$N40</f>
        <v>0</v>
      </c>
      <c r="BP59" s="586"/>
      <c r="BQ59" s="587" t="s">
        <v>26</v>
      </c>
      <c r="BR59" s="588"/>
      <c r="BS59" s="589"/>
      <c r="BT59" s="390">
        <f>+Worksheet!$L40</f>
        <v>0</v>
      </c>
      <c r="BV59" s="590"/>
      <c r="BW59" s="591"/>
      <c r="BX59" s="581"/>
      <c r="BY59" s="581"/>
      <c r="BZ59" s="581"/>
      <c r="CA59" s="582"/>
    </row>
    <row r="60" spans="1:79" ht="18" x14ac:dyDescent="0.35">
      <c r="C60" s="392" t="s">
        <v>20</v>
      </c>
      <c r="D60" s="393" t="s">
        <v>27</v>
      </c>
      <c r="E60" s="594" t="s">
        <v>28</v>
      </c>
      <c r="F60" s="595"/>
      <c r="G60" s="596"/>
      <c r="H60" s="394" t="str">
        <f>+IF(Worksheet!$K20&gt;0,Worksheet!$K20,"NO facia")</f>
        <v>White</v>
      </c>
      <c r="J60" s="392" t="s">
        <v>20</v>
      </c>
      <c r="K60" s="393" t="s">
        <v>27</v>
      </c>
      <c r="L60" s="581"/>
      <c r="M60" s="581"/>
      <c r="N60" s="581"/>
      <c r="O60" s="582"/>
      <c r="P60" s="420"/>
      <c r="S60" s="392" t="s">
        <v>20</v>
      </c>
      <c r="T60" s="393" t="s">
        <v>27</v>
      </c>
      <c r="U60" s="594" t="s">
        <v>28</v>
      </c>
      <c r="V60" s="595"/>
      <c r="W60" s="596"/>
      <c r="X60" s="394" t="str">
        <f>+IF(Worksheet!$K25&gt;0,Worksheet!$K25,"NO facia")</f>
        <v>NO facia</v>
      </c>
      <c r="Z60" s="392" t="s">
        <v>20</v>
      </c>
      <c r="AA60" s="393" t="s">
        <v>27</v>
      </c>
      <c r="AB60" s="581"/>
      <c r="AC60" s="581"/>
      <c r="AD60" s="581"/>
      <c r="AE60" s="582"/>
      <c r="AF60" s="420"/>
      <c r="AI60" s="392" t="s">
        <v>20</v>
      </c>
      <c r="AJ60" s="393" t="s">
        <v>27</v>
      </c>
      <c r="AK60" s="594" t="s">
        <v>28</v>
      </c>
      <c r="AL60" s="595"/>
      <c r="AM60" s="596"/>
      <c r="AN60" s="394" t="str">
        <f>+IF(Worksheet!$K30&gt;0,Worksheet!$K30,"NO facia")</f>
        <v>NO facia</v>
      </c>
      <c r="AP60" s="392" t="s">
        <v>20</v>
      </c>
      <c r="AQ60" s="393" t="s">
        <v>27</v>
      </c>
      <c r="AR60" s="581"/>
      <c r="AS60" s="581"/>
      <c r="AT60" s="581"/>
      <c r="AU60" s="582"/>
      <c r="AV60" s="420"/>
      <c r="AY60" s="392" t="s">
        <v>20</v>
      </c>
      <c r="AZ60" s="393" t="s">
        <v>27</v>
      </c>
      <c r="BA60" s="594" t="s">
        <v>28</v>
      </c>
      <c r="BB60" s="595"/>
      <c r="BC60" s="596"/>
      <c r="BD60" s="394" t="str">
        <f>+IF(Worksheet!$K35&gt;0,Worksheet!$K35,"NO facia")</f>
        <v>NO facia</v>
      </c>
      <c r="BF60" s="392" t="s">
        <v>20</v>
      </c>
      <c r="BG60" s="393" t="s">
        <v>27</v>
      </c>
      <c r="BH60" s="581"/>
      <c r="BI60" s="581"/>
      <c r="BJ60" s="581"/>
      <c r="BK60" s="582"/>
      <c r="BL60" s="420"/>
      <c r="BO60" s="392" t="s">
        <v>20</v>
      </c>
      <c r="BP60" s="393" t="s">
        <v>27</v>
      </c>
      <c r="BQ60" s="594" t="s">
        <v>28</v>
      </c>
      <c r="BR60" s="595"/>
      <c r="BS60" s="596"/>
      <c r="BT60" s="394" t="str">
        <f>+IF(Worksheet!$K40&gt;0,Worksheet!$K40,"NO facia")</f>
        <v>NO facia</v>
      </c>
      <c r="BV60" s="392" t="s">
        <v>20</v>
      </c>
      <c r="BW60" s="393" t="s">
        <v>27</v>
      </c>
      <c r="BX60" s="581"/>
      <c r="BY60" s="581"/>
      <c r="BZ60" s="581"/>
      <c r="CA60" s="582"/>
    </row>
    <row r="61" spans="1:79" ht="31.2" x14ac:dyDescent="0.6">
      <c r="C61" s="395">
        <f>Worksheet!$AH20</f>
        <v>34.375</v>
      </c>
      <c r="D61" s="396">
        <f>ROUND(+F56+12,0)</f>
        <v>76</v>
      </c>
      <c r="E61" s="597" t="s">
        <v>29</v>
      </c>
      <c r="F61" s="598"/>
      <c r="G61" s="599"/>
      <c r="H61" s="394" t="str">
        <f>+IF(Worksheet!$K20&gt;0,"facia brkts","reg. brkts")</f>
        <v>facia brkts</v>
      </c>
      <c r="J61" s="395">
        <f>C61</f>
        <v>34.375</v>
      </c>
      <c r="K61" s="396">
        <f>D61</f>
        <v>76</v>
      </c>
      <c r="L61" s="583"/>
      <c r="M61" s="583"/>
      <c r="N61" s="583"/>
      <c r="O61" s="584"/>
      <c r="P61" s="420"/>
      <c r="S61" s="395">
        <f>Worksheet!$AH25</f>
        <v>-1.375</v>
      </c>
      <c r="T61" s="396">
        <f>ROUND(+V56+12,0)</f>
        <v>12</v>
      </c>
      <c r="U61" s="597" t="s">
        <v>29</v>
      </c>
      <c r="V61" s="598"/>
      <c r="W61" s="599"/>
      <c r="X61" s="394" t="str">
        <f>+IF(Worksheet!$K25&gt;0,"facia brkts","reg. brkts")</f>
        <v>reg. brkts</v>
      </c>
      <c r="Z61" s="395">
        <f>S61</f>
        <v>-1.375</v>
      </c>
      <c r="AA61" s="396">
        <f>T61</f>
        <v>12</v>
      </c>
      <c r="AB61" s="583"/>
      <c r="AC61" s="583"/>
      <c r="AD61" s="583"/>
      <c r="AE61" s="584"/>
      <c r="AF61" s="420"/>
      <c r="AI61" s="395">
        <f>Worksheet!$AH30</f>
        <v>-1.375</v>
      </c>
      <c r="AJ61" s="396">
        <f>ROUND(+AL56+12,0)</f>
        <v>12</v>
      </c>
      <c r="AK61" s="597" t="s">
        <v>29</v>
      </c>
      <c r="AL61" s="598"/>
      <c r="AM61" s="599"/>
      <c r="AN61" s="394" t="str">
        <f>+IF(Worksheet!$K30&gt;0,"facia brkts","reg. brkts")</f>
        <v>reg. brkts</v>
      </c>
      <c r="AP61" s="395">
        <f>AI61</f>
        <v>-1.375</v>
      </c>
      <c r="AQ61" s="396">
        <f>AJ61</f>
        <v>12</v>
      </c>
      <c r="AR61" s="583"/>
      <c r="AS61" s="583"/>
      <c r="AT61" s="583"/>
      <c r="AU61" s="584"/>
      <c r="AV61" s="420"/>
      <c r="AY61" s="395">
        <f>Worksheet!$AH35</f>
        <v>-1.375</v>
      </c>
      <c r="AZ61" s="396">
        <f>ROUND(+BB56+12,0)</f>
        <v>12</v>
      </c>
      <c r="BA61" s="597" t="s">
        <v>29</v>
      </c>
      <c r="BB61" s="598"/>
      <c r="BC61" s="599"/>
      <c r="BD61" s="394" t="str">
        <f>+IF(Worksheet!$K35&gt;0,"facia brkts","reg. brkts")</f>
        <v>reg. brkts</v>
      </c>
      <c r="BF61" s="395">
        <f>AY61</f>
        <v>-1.375</v>
      </c>
      <c r="BG61" s="396">
        <f>AZ61</f>
        <v>12</v>
      </c>
      <c r="BH61" s="583"/>
      <c r="BI61" s="583"/>
      <c r="BJ61" s="583"/>
      <c r="BK61" s="584"/>
      <c r="BL61" s="420"/>
      <c r="BO61" s="395">
        <f>Worksheet!$AH40</f>
        <v>-1.375</v>
      </c>
      <c r="BP61" s="396">
        <f>ROUND(+BR56+12,0)</f>
        <v>12</v>
      </c>
      <c r="BQ61" s="597" t="s">
        <v>29</v>
      </c>
      <c r="BR61" s="598"/>
      <c r="BS61" s="599"/>
      <c r="BT61" s="394" t="str">
        <f>+IF(Worksheet!$K40&gt;0,"facia brkts","reg. brkts")</f>
        <v>reg. brkts</v>
      </c>
      <c r="BV61" s="395">
        <f>BO61</f>
        <v>-1.375</v>
      </c>
      <c r="BW61" s="396">
        <f>BP61</f>
        <v>12</v>
      </c>
      <c r="BX61" s="583"/>
      <c r="BY61" s="583"/>
      <c r="BZ61" s="583"/>
      <c r="CA61" s="584"/>
    </row>
    <row r="62" spans="1:79" ht="31.8" thickBot="1" x14ac:dyDescent="0.65">
      <c r="C62" s="397"/>
      <c r="D62" s="398" t="str">
        <f>+IF($C56&gt;0,"ROLLERSHADE","do not use")</f>
        <v>ROLLERSHADE</v>
      </c>
      <c r="E62" s="399"/>
      <c r="F62" s="399"/>
      <c r="G62" s="399"/>
      <c r="H62" s="400"/>
      <c r="J62" s="401"/>
      <c r="K62" s="398" t="str">
        <f>+IF(C56&gt;0,"TUBE SIZE","do not use")</f>
        <v>TUBE SIZE</v>
      </c>
      <c r="L62" s="399"/>
      <c r="M62" s="408" t="str">
        <f>IF(K62="TUBE SIZE",C56,IF(Worksheet!E64="Fabric ONLY","Fabric ONLY"," "))</f>
        <v>Tube 1.5</v>
      </c>
      <c r="N62" s="399"/>
      <c r="O62" s="400"/>
      <c r="P62" s="384"/>
      <c r="S62" s="397"/>
      <c r="T62" s="398" t="str">
        <f>+IF($T56&gt;0,"ROLLERSHADE","do not use")</f>
        <v>do not use</v>
      </c>
      <c r="U62" s="399"/>
      <c r="V62" s="399"/>
      <c r="W62" s="399"/>
      <c r="X62" s="400"/>
      <c r="Z62" s="401"/>
      <c r="AA62" s="398" t="str">
        <f>+IF(S56&gt;0,"TUBE SIZE","do not use")</f>
        <v>do not use</v>
      </c>
      <c r="AB62" s="399"/>
      <c r="AC62" s="408" t="str">
        <f>IF(AA62="TUBE SIZE",S56,IF(Worksheet!U64="Fabric ONLY","Fabric ONLY"," "))</f>
        <v xml:space="preserve"> </v>
      </c>
      <c r="AD62" s="399"/>
      <c r="AE62" s="400"/>
      <c r="AF62" s="384"/>
      <c r="AI62" s="397"/>
      <c r="AJ62" s="398" t="str">
        <f>+IF($AI56&gt;0,"ROLLERSHADE","do not use")</f>
        <v>do not use</v>
      </c>
      <c r="AK62" s="399"/>
      <c r="AL62" s="399"/>
      <c r="AM62" s="399"/>
      <c r="AN62" s="400"/>
      <c r="AP62" s="401"/>
      <c r="AQ62" s="398" t="str">
        <f>+IF(AI56&gt;0,"TUBE SIZE","do not use")</f>
        <v>do not use</v>
      </c>
      <c r="AR62" s="399"/>
      <c r="AS62" s="408" t="str">
        <f>IF(AQ62="TUBE SIZE",AI56,IF(Worksheet!AR64="Fabric ONLY","Fabric ONLY"," "))</f>
        <v xml:space="preserve"> </v>
      </c>
      <c r="AT62" s="399"/>
      <c r="AU62" s="400"/>
      <c r="AV62" s="384"/>
      <c r="AY62" s="397"/>
      <c r="AZ62" s="398" t="str">
        <f>+IF($AY56&gt;0,"ROLLERSHADE","do not use")</f>
        <v>do not use</v>
      </c>
      <c r="BA62" s="399"/>
      <c r="BB62" s="399"/>
      <c r="BC62" s="399"/>
      <c r="BD62" s="400"/>
      <c r="BF62" s="401"/>
      <c r="BG62" s="398" t="str">
        <f>+IF(AY56&gt;0,"TUBE SIZE","do not use")</f>
        <v>do not use</v>
      </c>
      <c r="BH62" s="399"/>
      <c r="BI62" s="408" t="str">
        <f>IF(BG62="TUBE SIZE",AY56,IF(Worksheet!BH64="Fabric ONLY","Fabric ONLY"," "))</f>
        <v xml:space="preserve"> </v>
      </c>
      <c r="BJ62" s="399"/>
      <c r="BK62" s="400"/>
      <c r="BL62" s="384"/>
      <c r="BO62" s="397"/>
      <c r="BP62" s="398" t="str">
        <f>+IF($BO56&gt;0,"ROLLERSHADE","do not use")</f>
        <v>do not use</v>
      </c>
      <c r="BQ62" s="399"/>
      <c r="BR62" s="399"/>
      <c r="BS62" s="399"/>
      <c r="BT62" s="400"/>
      <c r="BV62" s="401"/>
      <c r="BW62" s="398" t="str">
        <f>+IF(BO56&gt;0,"TUBE SIZE","do not use")</f>
        <v>do not use</v>
      </c>
      <c r="BX62" s="399"/>
      <c r="BY62" s="408" t="str">
        <f>IF(BW62="TUBE SIZE",BO56,IF(Worksheet!BX64="Fabric ONLY","Fabric ONLY"," "))</f>
        <v xml:space="preserve"> </v>
      </c>
      <c r="BZ62" s="399"/>
      <c r="CA62" s="400"/>
    </row>
    <row r="63" spans="1:79" ht="18" customHeight="1" x14ac:dyDescent="0.45">
      <c r="AI63" s="407"/>
      <c r="AJ63" s="384"/>
      <c r="AK63" s="384"/>
      <c r="AL63" s="384"/>
      <c r="AM63" s="384"/>
      <c r="AN63" s="406"/>
      <c r="AY63" s="407"/>
      <c r="AZ63" s="384"/>
      <c r="BA63" s="384"/>
      <c r="BB63" s="384"/>
      <c r="BC63" s="384"/>
      <c r="BD63" s="406"/>
    </row>
    <row r="64" spans="1:79" ht="20.25" customHeight="1" x14ac:dyDescent="0.3"/>
    <row r="65" spans="1:79" s="364" customFormat="1" ht="20.25" customHeight="1" x14ac:dyDescent="0.3">
      <c r="A65" s="352"/>
      <c r="B65" s="352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2"/>
      <c r="R65" s="352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  <c r="AG65" s="352"/>
      <c r="AH65" s="352"/>
      <c r="AI65" s="354"/>
      <c r="AJ65" s="354"/>
      <c r="AK65" s="354"/>
      <c r="AL65" s="354"/>
      <c r="AM65" s="354"/>
      <c r="AN65" s="354"/>
      <c r="AO65" s="354"/>
      <c r="AP65" s="354"/>
      <c r="AQ65" s="354"/>
      <c r="AR65" s="354"/>
      <c r="AS65" s="354"/>
      <c r="AT65" s="354"/>
      <c r="AU65" s="354"/>
      <c r="AV65" s="354"/>
      <c r="AW65" s="352"/>
      <c r="AX65" s="352"/>
      <c r="AY65" s="354"/>
      <c r="AZ65" s="354"/>
      <c r="BA65" s="354"/>
      <c r="BB65" s="354"/>
      <c r="BC65" s="354"/>
      <c r="BD65" s="354"/>
      <c r="BE65" s="354"/>
      <c r="BF65" s="354"/>
      <c r="BG65" s="354"/>
      <c r="BH65" s="354"/>
      <c r="BI65" s="354"/>
      <c r="BJ65" s="354"/>
      <c r="BK65" s="354"/>
      <c r="BL65" s="354"/>
      <c r="BM65" s="352"/>
      <c r="BN65" s="352"/>
      <c r="BO65" s="354"/>
      <c r="BP65" s="354"/>
      <c r="BQ65" s="354"/>
      <c r="BR65" s="354"/>
      <c r="BS65" s="354"/>
      <c r="BT65" s="354"/>
      <c r="BU65" s="354"/>
      <c r="BV65" s="354"/>
      <c r="BW65" s="354"/>
      <c r="BX65" s="354"/>
      <c r="BY65" s="354"/>
      <c r="BZ65" s="354"/>
      <c r="CA65" s="354"/>
    </row>
    <row r="66" spans="1:79" s="364" customFormat="1" x14ac:dyDescent="0.3">
      <c r="A66" s="352"/>
      <c r="B66" s="352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2"/>
      <c r="R66" s="352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4"/>
      <c r="AG66" s="352"/>
      <c r="AH66" s="352"/>
      <c r="AI66" s="354"/>
      <c r="AJ66" s="354"/>
      <c r="AK66" s="354"/>
      <c r="AL66" s="354"/>
      <c r="AM66" s="354"/>
      <c r="AN66" s="354"/>
      <c r="AO66" s="354"/>
      <c r="AP66" s="354"/>
      <c r="AQ66" s="354"/>
      <c r="AR66" s="354"/>
      <c r="AS66" s="354"/>
      <c r="AT66" s="354"/>
      <c r="AU66" s="354"/>
      <c r="AV66" s="354"/>
      <c r="AW66" s="352"/>
      <c r="AX66" s="352"/>
      <c r="AY66" s="354"/>
      <c r="AZ66" s="354"/>
      <c r="BA66" s="354"/>
      <c r="BB66" s="354"/>
      <c r="BC66" s="354"/>
      <c r="BD66" s="354"/>
      <c r="BE66" s="354"/>
      <c r="BF66" s="354"/>
      <c r="BG66" s="354"/>
      <c r="BH66" s="354"/>
      <c r="BI66" s="354"/>
      <c r="BJ66" s="354"/>
      <c r="BK66" s="354"/>
      <c r="BL66" s="354"/>
      <c r="BM66" s="352"/>
      <c r="BN66" s="352"/>
      <c r="BO66" s="354"/>
      <c r="BP66" s="354"/>
      <c r="BQ66" s="354"/>
      <c r="BR66" s="354"/>
      <c r="BS66" s="354"/>
      <c r="BT66" s="354"/>
      <c r="BU66" s="354"/>
      <c r="BV66" s="354"/>
      <c r="BW66" s="354"/>
      <c r="BX66" s="354"/>
      <c r="BY66" s="354"/>
      <c r="BZ66" s="354"/>
      <c r="CA66" s="354"/>
    </row>
    <row r="67" spans="1:79" s="364" customFormat="1" x14ac:dyDescent="0.3">
      <c r="A67" s="352"/>
      <c r="B67" s="352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2"/>
      <c r="R67" s="352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2"/>
      <c r="AH67" s="352"/>
      <c r="AI67" s="354"/>
      <c r="AJ67" s="354"/>
      <c r="AK67" s="354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2"/>
      <c r="AX67" s="352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2"/>
      <c r="BN67" s="352"/>
      <c r="BO67" s="354"/>
      <c r="BP67" s="354"/>
      <c r="BQ67" s="354"/>
      <c r="BR67" s="354"/>
      <c r="BS67" s="354"/>
      <c r="BT67" s="354"/>
      <c r="BU67" s="354"/>
      <c r="BV67" s="354"/>
      <c r="BW67" s="354"/>
      <c r="BX67" s="354"/>
      <c r="BY67" s="354"/>
      <c r="BZ67" s="354"/>
      <c r="CA67" s="354"/>
    </row>
    <row r="68" spans="1:79" s="364" customFormat="1" x14ac:dyDescent="0.3">
      <c r="A68" s="352"/>
      <c r="B68" s="352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2"/>
      <c r="R68" s="352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  <c r="AG68" s="352"/>
      <c r="AH68" s="352"/>
      <c r="AI68" s="354"/>
      <c r="AJ68" s="354"/>
      <c r="AK68" s="354"/>
      <c r="AL68" s="354"/>
      <c r="AM68" s="354"/>
      <c r="AN68" s="354"/>
      <c r="AO68" s="354"/>
      <c r="AP68" s="354"/>
      <c r="AQ68" s="354"/>
      <c r="AR68" s="354"/>
      <c r="AS68" s="354"/>
      <c r="AT68" s="354"/>
      <c r="AU68" s="354"/>
      <c r="AV68" s="354"/>
      <c r="AW68" s="352"/>
      <c r="AX68" s="352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2"/>
      <c r="BN68" s="352"/>
      <c r="BO68" s="354"/>
      <c r="BP68" s="354"/>
      <c r="BQ68" s="354"/>
      <c r="BR68" s="354"/>
      <c r="BS68" s="354"/>
      <c r="BT68" s="354"/>
      <c r="BU68" s="354"/>
      <c r="BV68" s="354"/>
      <c r="BW68" s="354"/>
      <c r="BX68" s="354"/>
      <c r="BY68" s="354"/>
      <c r="BZ68" s="354"/>
      <c r="CA68" s="354"/>
    </row>
    <row r="71" spans="1:79" s="391" customFormat="1" ht="20.25" customHeight="1" x14ac:dyDescent="0.3">
      <c r="A71" s="352"/>
      <c r="B71" s="352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2"/>
      <c r="R71" s="352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  <c r="AG71" s="352"/>
      <c r="AH71" s="352"/>
      <c r="AI71" s="354"/>
      <c r="AJ71" s="354"/>
      <c r="AK71" s="354"/>
      <c r="AL71" s="354"/>
      <c r="AM71" s="354"/>
      <c r="AN71" s="354"/>
      <c r="AO71" s="354"/>
      <c r="AP71" s="354"/>
      <c r="AQ71" s="354"/>
      <c r="AR71" s="354"/>
      <c r="AS71" s="354"/>
      <c r="AT71" s="354"/>
      <c r="AU71" s="354"/>
      <c r="AV71" s="354"/>
      <c r="AW71" s="352"/>
      <c r="AX71" s="352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2"/>
      <c r="BN71" s="352"/>
      <c r="BO71" s="354"/>
      <c r="BP71" s="354"/>
      <c r="BQ71" s="354"/>
      <c r="BR71" s="354"/>
      <c r="BS71" s="354"/>
      <c r="BT71" s="354"/>
      <c r="BU71" s="354"/>
      <c r="BV71" s="354"/>
      <c r="BW71" s="354"/>
      <c r="BX71" s="354"/>
      <c r="BY71" s="354"/>
      <c r="BZ71" s="354"/>
      <c r="CA71" s="354"/>
    </row>
    <row r="72" spans="1:79" ht="16.5" customHeight="1" x14ac:dyDescent="0.3"/>
    <row r="73" spans="1:79" ht="25.5" customHeight="1" x14ac:dyDescent="0.3"/>
    <row r="74" spans="1:79" ht="29.25" customHeight="1" x14ac:dyDescent="0.3"/>
    <row r="75" spans="1:79" ht="60" customHeight="1" x14ac:dyDescent="0.3"/>
    <row r="76" spans="1:79" ht="20.25" customHeight="1" x14ac:dyDescent="0.3"/>
    <row r="77" spans="1:79" s="364" customFormat="1" ht="20.25" customHeight="1" x14ac:dyDescent="0.3">
      <c r="A77" s="352"/>
      <c r="B77" s="352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4"/>
      <c r="P77" s="354"/>
      <c r="Q77" s="352"/>
      <c r="R77" s="352"/>
      <c r="S77" s="354"/>
      <c r="T77" s="354"/>
      <c r="U77" s="354"/>
      <c r="V77" s="354"/>
      <c r="W77" s="354"/>
      <c r="X77" s="354"/>
      <c r="Y77" s="354"/>
      <c r="Z77" s="354"/>
      <c r="AA77" s="354"/>
      <c r="AB77" s="354"/>
      <c r="AC77" s="354"/>
      <c r="AD77" s="354"/>
      <c r="AE77" s="354"/>
      <c r="AF77" s="354"/>
      <c r="AG77" s="352"/>
      <c r="AH77" s="352"/>
      <c r="AI77" s="354"/>
      <c r="AJ77" s="354"/>
      <c r="AK77" s="354"/>
      <c r="AL77" s="354"/>
      <c r="AM77" s="354"/>
      <c r="AN77" s="354"/>
      <c r="AO77" s="354"/>
      <c r="AP77" s="354"/>
      <c r="AQ77" s="354"/>
      <c r="AR77" s="354"/>
      <c r="AS77" s="354"/>
      <c r="AT77" s="354"/>
      <c r="AU77" s="354"/>
      <c r="AV77" s="354"/>
      <c r="AW77" s="352"/>
      <c r="AX77" s="352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2"/>
      <c r="BN77" s="352"/>
      <c r="BO77" s="354"/>
      <c r="BP77" s="354"/>
      <c r="BQ77" s="354"/>
      <c r="BR77" s="354"/>
      <c r="BS77" s="354"/>
      <c r="BT77" s="354"/>
      <c r="BU77" s="354"/>
      <c r="BV77" s="354"/>
      <c r="BW77" s="354"/>
      <c r="BX77" s="354"/>
      <c r="BY77" s="354"/>
      <c r="BZ77" s="354"/>
      <c r="CA77" s="354"/>
    </row>
    <row r="78" spans="1:79" s="364" customFormat="1" x14ac:dyDescent="0.3">
      <c r="A78" s="352"/>
      <c r="B78" s="352"/>
      <c r="C78" s="354"/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2"/>
      <c r="R78" s="352"/>
      <c r="S78" s="354"/>
      <c r="T78" s="354"/>
      <c r="U78" s="354"/>
      <c r="V78" s="354"/>
      <c r="W78" s="354"/>
      <c r="X78" s="354"/>
      <c r="Y78" s="354"/>
      <c r="Z78" s="354"/>
      <c r="AA78" s="354"/>
      <c r="AB78" s="354"/>
      <c r="AC78" s="354"/>
      <c r="AD78" s="354"/>
      <c r="AE78" s="354"/>
      <c r="AF78" s="354"/>
      <c r="AG78" s="352"/>
      <c r="AH78" s="352"/>
      <c r="AI78" s="354"/>
      <c r="AJ78" s="354"/>
      <c r="AK78" s="354"/>
      <c r="AL78" s="354"/>
      <c r="AM78" s="354"/>
      <c r="AN78" s="354"/>
      <c r="AO78" s="354"/>
      <c r="AP78" s="354"/>
      <c r="AQ78" s="354"/>
      <c r="AR78" s="354"/>
      <c r="AS78" s="354"/>
      <c r="AT78" s="354"/>
      <c r="AU78" s="354"/>
      <c r="AV78" s="354"/>
      <c r="AW78" s="352"/>
      <c r="AX78" s="352"/>
      <c r="AY78" s="354"/>
      <c r="AZ78" s="354"/>
      <c r="BA78" s="354"/>
      <c r="BB78" s="354"/>
      <c r="BC78" s="354"/>
      <c r="BD78" s="354"/>
      <c r="BE78" s="354"/>
      <c r="BF78" s="354"/>
      <c r="BG78" s="354"/>
      <c r="BH78" s="354"/>
      <c r="BI78" s="354"/>
      <c r="BJ78" s="354"/>
      <c r="BK78" s="354"/>
      <c r="BL78" s="354"/>
      <c r="BM78" s="352"/>
      <c r="BN78" s="352"/>
      <c r="BO78" s="354"/>
      <c r="BP78" s="354"/>
      <c r="BQ78" s="354"/>
      <c r="BR78" s="354"/>
      <c r="BS78" s="354"/>
      <c r="BT78" s="354"/>
      <c r="BU78" s="354"/>
      <c r="BV78" s="354"/>
      <c r="BW78" s="354"/>
      <c r="BX78" s="354"/>
      <c r="BY78" s="354"/>
      <c r="BZ78" s="354"/>
      <c r="CA78" s="354"/>
    </row>
    <row r="79" spans="1:79" s="364" customFormat="1" x14ac:dyDescent="0.3">
      <c r="A79" s="352"/>
      <c r="B79" s="352"/>
      <c r="C79" s="354"/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2"/>
      <c r="R79" s="352"/>
      <c r="S79" s="354"/>
      <c r="T79" s="354"/>
      <c r="U79" s="354"/>
      <c r="V79" s="354"/>
      <c r="W79" s="354"/>
      <c r="X79" s="354"/>
      <c r="Y79" s="354"/>
      <c r="Z79" s="354"/>
      <c r="AA79" s="354"/>
      <c r="AB79" s="354"/>
      <c r="AC79" s="354"/>
      <c r="AD79" s="354"/>
      <c r="AE79" s="354"/>
      <c r="AF79" s="354"/>
      <c r="AG79" s="352"/>
      <c r="AH79" s="352"/>
      <c r="AI79" s="354"/>
      <c r="AJ79" s="354"/>
      <c r="AK79" s="354"/>
      <c r="AL79" s="354"/>
      <c r="AM79" s="354"/>
      <c r="AN79" s="354"/>
      <c r="AO79" s="354"/>
      <c r="AP79" s="354"/>
      <c r="AQ79" s="354"/>
      <c r="AR79" s="354"/>
      <c r="AS79" s="354"/>
      <c r="AT79" s="354"/>
      <c r="AU79" s="354"/>
      <c r="AV79" s="354"/>
      <c r="AW79" s="352"/>
      <c r="AX79" s="352"/>
      <c r="AY79" s="354"/>
      <c r="AZ79" s="354"/>
      <c r="BA79" s="354"/>
      <c r="BB79" s="354"/>
      <c r="BC79" s="354"/>
      <c r="BD79" s="354"/>
      <c r="BE79" s="354"/>
      <c r="BF79" s="354"/>
      <c r="BG79" s="354"/>
      <c r="BH79" s="354"/>
      <c r="BI79" s="354"/>
      <c r="BJ79" s="354"/>
      <c r="BK79" s="354"/>
      <c r="BL79" s="354"/>
      <c r="BM79" s="352"/>
      <c r="BN79" s="352"/>
      <c r="BO79" s="354"/>
      <c r="BP79" s="354"/>
      <c r="BQ79" s="354"/>
      <c r="BR79" s="354"/>
      <c r="BS79" s="354"/>
      <c r="BT79" s="354"/>
      <c r="BU79" s="354"/>
      <c r="BV79" s="354"/>
      <c r="BW79" s="354"/>
      <c r="BX79" s="354"/>
      <c r="BY79" s="354"/>
      <c r="BZ79" s="354"/>
      <c r="CA79" s="354"/>
    </row>
    <row r="80" spans="1:79" s="364" customFormat="1" x14ac:dyDescent="0.3">
      <c r="A80" s="352"/>
      <c r="B80" s="352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2"/>
      <c r="R80" s="352"/>
      <c r="S80" s="354"/>
      <c r="T80" s="354"/>
      <c r="U80" s="354"/>
      <c r="V80" s="354"/>
      <c r="W80" s="354"/>
      <c r="X80" s="354"/>
      <c r="Y80" s="354"/>
      <c r="Z80" s="354"/>
      <c r="AA80" s="354"/>
      <c r="AB80" s="354"/>
      <c r="AC80" s="354"/>
      <c r="AD80" s="354"/>
      <c r="AE80" s="354"/>
      <c r="AF80" s="354"/>
      <c r="AG80" s="352"/>
      <c r="AH80" s="352"/>
      <c r="AI80" s="354"/>
      <c r="AJ80" s="354"/>
      <c r="AK80" s="354"/>
      <c r="AL80" s="354"/>
      <c r="AM80" s="354"/>
      <c r="AN80" s="354"/>
      <c r="AO80" s="354"/>
      <c r="AP80" s="354"/>
      <c r="AQ80" s="354"/>
      <c r="AR80" s="354"/>
      <c r="AS80" s="354"/>
      <c r="AT80" s="354"/>
      <c r="AU80" s="354"/>
      <c r="AV80" s="354"/>
      <c r="AW80" s="352"/>
      <c r="AX80" s="352"/>
      <c r="AY80" s="354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354"/>
      <c r="BM80" s="352"/>
      <c r="BN80" s="352"/>
      <c r="BO80" s="354"/>
      <c r="BP80" s="354"/>
      <c r="BQ80" s="354"/>
      <c r="BR80" s="354"/>
      <c r="BS80" s="354"/>
      <c r="BT80" s="354"/>
      <c r="BU80" s="354"/>
      <c r="BV80" s="354"/>
      <c r="BW80" s="354"/>
      <c r="BX80" s="354"/>
      <c r="BY80" s="354"/>
      <c r="BZ80" s="354"/>
      <c r="CA80" s="354"/>
    </row>
    <row r="83" spans="1:79" s="391" customFormat="1" x14ac:dyDescent="0.3">
      <c r="A83" s="352"/>
      <c r="B83" s="352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2"/>
      <c r="R83" s="352"/>
      <c r="S83" s="354"/>
      <c r="T83" s="354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2"/>
      <c r="AH83" s="352"/>
      <c r="AI83" s="354"/>
      <c r="AJ83" s="354"/>
      <c r="AK83" s="354"/>
      <c r="AL83" s="354"/>
      <c r="AM83" s="354"/>
      <c r="AN83" s="354"/>
      <c r="AO83" s="354"/>
      <c r="AP83" s="354"/>
      <c r="AQ83" s="354"/>
      <c r="AR83" s="354"/>
      <c r="AS83" s="354"/>
      <c r="AT83" s="354"/>
      <c r="AU83" s="354"/>
      <c r="AV83" s="354"/>
      <c r="AW83" s="352"/>
      <c r="AX83" s="352"/>
      <c r="AY83" s="354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354"/>
      <c r="BM83" s="352"/>
      <c r="BN83" s="352"/>
      <c r="BO83" s="354"/>
      <c r="BP83" s="354"/>
      <c r="BQ83" s="354"/>
      <c r="BR83" s="354"/>
      <c r="BS83" s="354"/>
      <c r="BT83" s="354"/>
      <c r="BU83" s="354"/>
      <c r="BV83" s="354"/>
      <c r="BW83" s="354"/>
      <c r="BX83" s="354"/>
      <c r="BY83" s="354"/>
      <c r="BZ83" s="354"/>
      <c r="CA83" s="354"/>
    </row>
    <row r="85" spans="1:79" ht="28.5" customHeight="1" x14ac:dyDescent="0.3"/>
    <row r="86" spans="1:79" ht="30.75" customHeight="1" x14ac:dyDescent="0.3"/>
    <row r="87" spans="1:79" ht="54.9" customHeight="1" x14ac:dyDescent="0.3"/>
    <row r="88" spans="1:79" ht="20.25" customHeight="1" x14ac:dyDescent="0.3"/>
    <row r="89" spans="1:79" ht="20.25" customHeight="1" x14ac:dyDescent="0.3"/>
    <row r="90" spans="1:79" s="364" customFormat="1" x14ac:dyDescent="0.3">
      <c r="A90" s="352"/>
      <c r="B90" s="352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2"/>
      <c r="R90" s="352"/>
      <c r="S90" s="354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2"/>
      <c r="AH90" s="352"/>
      <c r="AI90" s="354"/>
      <c r="AJ90" s="354"/>
      <c r="AK90" s="354"/>
      <c r="AL90" s="354"/>
      <c r="AM90" s="354"/>
      <c r="AN90" s="354"/>
      <c r="AO90" s="354"/>
      <c r="AP90" s="354"/>
      <c r="AQ90" s="354"/>
      <c r="AR90" s="354"/>
      <c r="AS90" s="354"/>
      <c r="AT90" s="354"/>
      <c r="AU90" s="354"/>
      <c r="AV90" s="354"/>
      <c r="AW90" s="352"/>
      <c r="AX90" s="352"/>
      <c r="AY90" s="354"/>
      <c r="AZ90" s="354"/>
      <c r="BA90" s="354"/>
      <c r="BB90" s="354"/>
      <c r="BC90" s="354"/>
      <c r="BD90" s="354"/>
      <c r="BE90" s="354"/>
      <c r="BF90" s="354"/>
      <c r="BG90" s="354"/>
      <c r="BH90" s="354"/>
      <c r="BI90" s="354"/>
      <c r="BJ90" s="354"/>
      <c r="BK90" s="354"/>
      <c r="BL90" s="354"/>
      <c r="BM90" s="352"/>
      <c r="BN90" s="352"/>
      <c r="BO90" s="354"/>
      <c r="BP90" s="354"/>
      <c r="BQ90" s="354"/>
      <c r="BR90" s="354"/>
      <c r="BS90" s="354"/>
      <c r="BT90" s="354"/>
      <c r="BU90" s="354"/>
      <c r="BV90" s="354"/>
      <c r="BW90" s="354"/>
      <c r="BX90" s="354"/>
      <c r="BY90" s="354"/>
      <c r="BZ90" s="354"/>
      <c r="CA90" s="354"/>
    </row>
    <row r="91" spans="1:79" s="364" customFormat="1" x14ac:dyDescent="0.3">
      <c r="A91" s="352"/>
      <c r="B91" s="352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2"/>
      <c r="R91" s="352"/>
      <c r="S91" s="354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2"/>
      <c r="AH91" s="352"/>
      <c r="AI91" s="354"/>
      <c r="AJ91" s="354"/>
      <c r="AK91" s="354"/>
      <c r="AL91" s="354"/>
      <c r="AM91" s="354"/>
      <c r="AN91" s="354"/>
      <c r="AO91" s="354"/>
      <c r="AP91" s="354"/>
      <c r="AQ91" s="354"/>
      <c r="AR91" s="354"/>
      <c r="AS91" s="354"/>
      <c r="AT91" s="354"/>
      <c r="AU91" s="354"/>
      <c r="AV91" s="354"/>
      <c r="AW91" s="352"/>
      <c r="AX91" s="352"/>
      <c r="AY91" s="354"/>
      <c r="AZ91" s="354"/>
      <c r="BA91" s="354"/>
      <c r="BB91" s="354"/>
      <c r="BC91" s="354"/>
      <c r="BD91" s="354"/>
      <c r="BE91" s="354"/>
      <c r="BF91" s="354"/>
      <c r="BG91" s="354"/>
      <c r="BH91" s="354"/>
      <c r="BI91" s="354"/>
      <c r="BJ91" s="354"/>
      <c r="BK91" s="354"/>
      <c r="BL91" s="354"/>
      <c r="BM91" s="352"/>
      <c r="BN91" s="352"/>
      <c r="BO91" s="354"/>
      <c r="BP91" s="354"/>
      <c r="BQ91" s="354"/>
      <c r="BR91" s="354"/>
      <c r="BS91" s="354"/>
      <c r="BT91" s="354"/>
      <c r="BU91" s="354"/>
      <c r="BV91" s="354"/>
      <c r="BW91" s="354"/>
      <c r="BX91" s="354"/>
      <c r="BY91" s="354"/>
      <c r="BZ91" s="354"/>
      <c r="CA91" s="354"/>
    </row>
    <row r="92" spans="1:79" s="364" customFormat="1" x14ac:dyDescent="0.3">
      <c r="A92" s="352"/>
      <c r="B92" s="352"/>
      <c r="C92" s="354"/>
      <c r="D92" s="354"/>
      <c r="E92" s="354"/>
      <c r="F92" s="354"/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2"/>
      <c r="R92" s="352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2"/>
      <c r="AH92" s="352"/>
      <c r="AI92" s="354"/>
      <c r="AJ92" s="354"/>
      <c r="AK92" s="354"/>
      <c r="AL92" s="354"/>
      <c r="AM92" s="354"/>
      <c r="AN92" s="354"/>
      <c r="AO92" s="354"/>
      <c r="AP92" s="354"/>
      <c r="AQ92" s="354"/>
      <c r="AR92" s="354"/>
      <c r="AS92" s="354"/>
      <c r="AT92" s="354"/>
      <c r="AU92" s="354"/>
      <c r="AV92" s="354"/>
      <c r="AW92" s="352"/>
      <c r="AX92" s="352"/>
      <c r="AY92" s="354"/>
      <c r="AZ92" s="354"/>
      <c r="BA92" s="354"/>
      <c r="BB92" s="354"/>
      <c r="BC92" s="354"/>
      <c r="BD92" s="354"/>
      <c r="BE92" s="354"/>
      <c r="BF92" s="354"/>
      <c r="BG92" s="354"/>
      <c r="BH92" s="354"/>
      <c r="BI92" s="354"/>
      <c r="BJ92" s="354"/>
      <c r="BK92" s="354"/>
      <c r="BL92" s="354"/>
      <c r="BM92" s="352"/>
      <c r="BN92" s="352"/>
      <c r="BO92" s="354"/>
      <c r="BP92" s="354"/>
      <c r="BQ92" s="354"/>
      <c r="BR92" s="354"/>
      <c r="BS92" s="354"/>
      <c r="BT92" s="354"/>
      <c r="BU92" s="354"/>
      <c r="BV92" s="354"/>
      <c r="BW92" s="354"/>
      <c r="BX92" s="354"/>
      <c r="BY92" s="354"/>
      <c r="BZ92" s="354"/>
      <c r="CA92" s="354"/>
    </row>
    <row r="95" spans="1:79" s="391" customFormat="1" x14ac:dyDescent="0.3">
      <c r="A95" s="352"/>
      <c r="B95" s="352"/>
      <c r="C95" s="354"/>
      <c r="D95" s="354"/>
      <c r="E95" s="354"/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4"/>
      <c r="Q95" s="352"/>
      <c r="R95" s="352"/>
      <c r="S95" s="354"/>
      <c r="T95" s="354"/>
      <c r="U95" s="354"/>
      <c r="V95" s="354"/>
      <c r="W95" s="354"/>
      <c r="X95" s="354"/>
      <c r="Y95" s="354"/>
      <c r="Z95" s="354"/>
      <c r="AA95" s="354"/>
      <c r="AB95" s="354"/>
      <c r="AC95" s="354"/>
      <c r="AD95" s="354"/>
      <c r="AE95" s="354"/>
      <c r="AF95" s="354"/>
      <c r="AG95" s="352"/>
      <c r="AH95" s="352"/>
      <c r="AI95" s="354"/>
      <c r="AJ95" s="354"/>
      <c r="AK95" s="354"/>
      <c r="AL95" s="354"/>
      <c r="AM95" s="354"/>
      <c r="AN95" s="354"/>
      <c r="AO95" s="354"/>
      <c r="AP95" s="354"/>
      <c r="AQ95" s="354"/>
      <c r="AR95" s="354"/>
      <c r="AS95" s="354"/>
      <c r="AT95" s="354"/>
      <c r="AU95" s="354"/>
      <c r="AV95" s="354"/>
      <c r="AW95" s="352"/>
      <c r="AX95" s="352"/>
      <c r="AY95" s="354"/>
      <c r="AZ95" s="354"/>
      <c r="BA95" s="354"/>
      <c r="BB95" s="354"/>
      <c r="BC95" s="354"/>
      <c r="BD95" s="354"/>
      <c r="BE95" s="354"/>
      <c r="BF95" s="354"/>
      <c r="BG95" s="354"/>
      <c r="BH95" s="354"/>
      <c r="BI95" s="354"/>
      <c r="BJ95" s="354"/>
      <c r="BK95" s="354"/>
      <c r="BL95" s="354"/>
      <c r="BM95" s="352"/>
      <c r="BN95" s="352"/>
      <c r="BO95" s="354"/>
      <c r="BP95" s="354"/>
      <c r="BQ95" s="354"/>
      <c r="BR95" s="354"/>
      <c r="BS95" s="354"/>
      <c r="BT95" s="354"/>
      <c r="BU95" s="354"/>
      <c r="BV95" s="354"/>
      <c r="BW95" s="354"/>
      <c r="BX95" s="354"/>
      <c r="BY95" s="354"/>
      <c r="BZ95" s="354"/>
      <c r="CA95" s="354"/>
    </row>
    <row r="98" spans="1:79" ht="31.65" customHeight="1" x14ac:dyDescent="0.3"/>
    <row r="99" spans="1:79" ht="54.9" customHeight="1" x14ac:dyDescent="0.3"/>
    <row r="100" spans="1:79" ht="20.25" customHeight="1" x14ac:dyDescent="0.3"/>
    <row r="101" spans="1:79" ht="20.25" customHeight="1" x14ac:dyDescent="0.3"/>
    <row r="102" spans="1:79" s="364" customFormat="1" x14ac:dyDescent="0.3">
      <c r="A102" s="352"/>
      <c r="B102" s="352"/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2"/>
      <c r="R102" s="352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2"/>
      <c r="AH102" s="352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354"/>
      <c r="AU102" s="354"/>
      <c r="AV102" s="354"/>
      <c r="AW102" s="352"/>
      <c r="AX102" s="352"/>
      <c r="AY102" s="354"/>
      <c r="AZ102" s="354"/>
      <c r="BA102" s="354"/>
      <c r="BB102" s="354"/>
      <c r="BC102" s="354"/>
      <c r="BD102" s="354"/>
      <c r="BE102" s="354"/>
      <c r="BF102" s="354"/>
      <c r="BG102" s="354"/>
      <c r="BH102" s="354"/>
      <c r="BI102" s="354"/>
      <c r="BJ102" s="354"/>
      <c r="BK102" s="354"/>
      <c r="BL102" s="354"/>
      <c r="BM102" s="352"/>
      <c r="BN102" s="352"/>
      <c r="BO102" s="354"/>
      <c r="BP102" s="354"/>
      <c r="BQ102" s="354"/>
      <c r="BR102" s="354"/>
      <c r="BS102" s="354"/>
      <c r="BT102" s="354"/>
      <c r="BU102" s="354"/>
      <c r="BV102" s="354"/>
      <c r="BW102" s="354"/>
      <c r="BX102" s="354"/>
      <c r="BY102" s="354"/>
      <c r="BZ102" s="354"/>
      <c r="CA102" s="354"/>
    </row>
    <row r="104" spans="1:79" s="364" customFormat="1" x14ac:dyDescent="0.3">
      <c r="A104" s="352"/>
      <c r="B104" s="352"/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2"/>
      <c r="R104" s="352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4"/>
      <c r="AF104" s="354"/>
      <c r="AG104" s="352"/>
      <c r="AH104" s="352"/>
      <c r="AI104" s="354"/>
      <c r="AJ104" s="354"/>
      <c r="AK104" s="354"/>
      <c r="AL104" s="354"/>
      <c r="AM104" s="354"/>
      <c r="AN104" s="354"/>
      <c r="AO104" s="354"/>
      <c r="AP104" s="354"/>
      <c r="AQ104" s="354"/>
      <c r="AR104" s="354"/>
      <c r="AS104" s="354"/>
      <c r="AT104" s="354"/>
      <c r="AU104" s="354"/>
      <c r="AV104" s="354"/>
      <c r="AW104" s="352"/>
      <c r="AX104" s="352"/>
      <c r="AY104" s="354"/>
      <c r="AZ104" s="354"/>
      <c r="BA104" s="354"/>
      <c r="BB104" s="354"/>
      <c r="BC104" s="354"/>
      <c r="BD104" s="354"/>
      <c r="BE104" s="354"/>
      <c r="BF104" s="354"/>
      <c r="BG104" s="354"/>
      <c r="BH104" s="354"/>
      <c r="BI104" s="354"/>
      <c r="BJ104" s="354"/>
      <c r="BK104" s="354"/>
      <c r="BL104" s="354"/>
      <c r="BM104" s="352"/>
      <c r="BN104" s="352"/>
      <c r="BO104" s="354"/>
      <c r="BP104" s="354"/>
      <c r="BQ104" s="354"/>
      <c r="BR104" s="354"/>
      <c r="BS104" s="354"/>
      <c r="BT104" s="354"/>
      <c r="BU104" s="354"/>
      <c r="BV104" s="354"/>
      <c r="BW104" s="354"/>
      <c r="BX104" s="354"/>
      <c r="BY104" s="354"/>
      <c r="BZ104" s="354"/>
      <c r="CA104" s="354"/>
    </row>
    <row r="107" spans="1:79" s="391" customFormat="1" x14ac:dyDescent="0.3">
      <c r="A107" s="352"/>
      <c r="B107" s="352"/>
      <c r="C107" s="354"/>
      <c r="D107" s="354"/>
      <c r="E107" s="354"/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2"/>
      <c r="R107" s="352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  <c r="AE107" s="354"/>
      <c r="AF107" s="354"/>
      <c r="AG107" s="352"/>
      <c r="AH107" s="352"/>
      <c r="AI107" s="354"/>
      <c r="AJ107" s="354"/>
      <c r="AK107" s="354"/>
      <c r="AL107" s="354"/>
      <c r="AM107" s="354"/>
      <c r="AN107" s="354"/>
      <c r="AO107" s="354"/>
      <c r="AP107" s="354"/>
      <c r="AQ107" s="354"/>
      <c r="AR107" s="354"/>
      <c r="AS107" s="354"/>
      <c r="AT107" s="354"/>
      <c r="AU107" s="354"/>
      <c r="AV107" s="354"/>
      <c r="AW107" s="352"/>
      <c r="AX107" s="352"/>
      <c r="AY107" s="354"/>
      <c r="AZ107" s="354"/>
      <c r="BA107" s="354"/>
      <c r="BB107" s="354"/>
      <c r="BC107" s="354"/>
      <c r="BD107" s="354"/>
      <c r="BE107" s="354"/>
      <c r="BF107" s="354"/>
      <c r="BG107" s="354"/>
      <c r="BH107" s="354"/>
      <c r="BI107" s="354"/>
      <c r="BJ107" s="354"/>
      <c r="BK107" s="354"/>
      <c r="BL107" s="354"/>
      <c r="BM107" s="352"/>
      <c r="BN107" s="352"/>
      <c r="BO107" s="354"/>
      <c r="BP107" s="354"/>
      <c r="BQ107" s="354"/>
      <c r="BR107" s="354"/>
      <c r="BS107" s="354"/>
      <c r="BT107" s="354"/>
      <c r="BU107" s="354"/>
      <c r="BV107" s="354"/>
      <c r="BW107" s="354"/>
      <c r="BX107" s="354"/>
      <c r="BY107" s="354"/>
      <c r="BZ107" s="354"/>
      <c r="CA107" s="354"/>
    </row>
    <row r="111" spans="1:79" ht="54.9" customHeight="1" x14ac:dyDescent="0.3"/>
    <row r="112" spans="1:79" ht="20.25" customHeight="1" x14ac:dyDescent="0.3"/>
    <row r="113" spans="1:79" ht="20.25" customHeight="1" x14ac:dyDescent="0.3"/>
    <row r="114" spans="1:79" s="364" customFormat="1" x14ac:dyDescent="0.3">
      <c r="A114" s="352"/>
      <c r="B114" s="352"/>
      <c r="C114" s="354"/>
      <c r="D114" s="354"/>
      <c r="E114" s="354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2"/>
      <c r="R114" s="352"/>
      <c r="S114" s="354"/>
      <c r="T114" s="354"/>
      <c r="U114" s="354"/>
      <c r="V114" s="354"/>
      <c r="W114" s="354"/>
      <c r="X114" s="354"/>
      <c r="Y114" s="354"/>
      <c r="Z114" s="354"/>
      <c r="AA114" s="354"/>
      <c r="AB114" s="354"/>
      <c r="AC114" s="354"/>
      <c r="AD114" s="354"/>
      <c r="AE114" s="354"/>
      <c r="AF114" s="354"/>
      <c r="AG114" s="352"/>
      <c r="AH114" s="352"/>
      <c r="AI114" s="354"/>
      <c r="AJ114" s="354"/>
      <c r="AK114" s="354"/>
      <c r="AL114" s="354"/>
      <c r="AM114" s="354"/>
      <c r="AN114" s="354"/>
      <c r="AO114" s="354"/>
      <c r="AP114" s="354"/>
      <c r="AQ114" s="354"/>
      <c r="AR114" s="354"/>
      <c r="AS114" s="354"/>
      <c r="AT114" s="354"/>
      <c r="AU114" s="354"/>
      <c r="AV114" s="354"/>
      <c r="AW114" s="352"/>
      <c r="AX114" s="352"/>
      <c r="AY114" s="354"/>
      <c r="AZ114" s="354"/>
      <c r="BA114" s="354"/>
      <c r="BB114" s="354"/>
      <c r="BC114" s="354"/>
      <c r="BD114" s="354"/>
      <c r="BE114" s="354"/>
      <c r="BF114" s="354"/>
      <c r="BG114" s="354"/>
      <c r="BH114" s="354"/>
      <c r="BI114" s="354"/>
      <c r="BJ114" s="354"/>
      <c r="BK114" s="354"/>
      <c r="BL114" s="354"/>
      <c r="BM114" s="352"/>
      <c r="BN114" s="352"/>
      <c r="BO114" s="354"/>
      <c r="BP114" s="354"/>
      <c r="BQ114" s="354"/>
      <c r="BR114" s="354"/>
      <c r="BS114" s="354"/>
      <c r="BT114" s="354"/>
      <c r="BU114" s="354"/>
      <c r="BV114" s="354"/>
      <c r="BW114" s="354"/>
      <c r="BX114" s="354"/>
      <c r="BY114" s="354"/>
      <c r="BZ114" s="354"/>
      <c r="CA114" s="354"/>
    </row>
    <row r="115" spans="1:79" s="364" customFormat="1" x14ac:dyDescent="0.3">
      <c r="A115" s="352"/>
      <c r="B115" s="352"/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2"/>
      <c r="R115" s="352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2"/>
      <c r="AH115" s="352"/>
      <c r="AI115" s="354"/>
      <c r="AJ115" s="354"/>
      <c r="AK115" s="354"/>
      <c r="AL115" s="354"/>
      <c r="AM115" s="354"/>
      <c r="AN115" s="354"/>
      <c r="AO115" s="354"/>
      <c r="AP115" s="354"/>
      <c r="AQ115" s="354"/>
      <c r="AR115" s="354"/>
      <c r="AS115" s="354"/>
      <c r="AT115" s="354"/>
      <c r="AU115" s="354"/>
      <c r="AV115" s="354"/>
      <c r="AW115" s="352"/>
      <c r="AX115" s="352"/>
      <c r="AY115" s="354"/>
      <c r="AZ115" s="354"/>
      <c r="BA115" s="354"/>
      <c r="BB115" s="354"/>
      <c r="BC115" s="354"/>
      <c r="BD115" s="354"/>
      <c r="BE115" s="354"/>
      <c r="BF115" s="354"/>
      <c r="BG115" s="354"/>
      <c r="BH115" s="354"/>
      <c r="BI115" s="354"/>
      <c r="BJ115" s="354"/>
      <c r="BK115" s="354"/>
      <c r="BL115" s="354"/>
      <c r="BM115" s="352"/>
      <c r="BN115" s="352"/>
      <c r="BO115" s="354"/>
      <c r="BP115" s="354"/>
      <c r="BQ115" s="354"/>
      <c r="BR115" s="354"/>
      <c r="BS115" s="354"/>
      <c r="BT115" s="354"/>
      <c r="BU115" s="354"/>
      <c r="BV115" s="354"/>
      <c r="BW115" s="354"/>
      <c r="BX115" s="354"/>
      <c r="BY115" s="354"/>
      <c r="BZ115" s="354"/>
      <c r="CA115" s="354"/>
    </row>
    <row r="116" spans="1:79" s="364" customFormat="1" x14ac:dyDescent="0.3">
      <c r="A116" s="352"/>
      <c r="B116" s="352"/>
      <c r="C116" s="354"/>
      <c r="D116" s="354"/>
      <c r="E116" s="354"/>
      <c r="F116" s="354"/>
      <c r="G116" s="354"/>
      <c r="H116" s="354"/>
      <c r="I116" s="354"/>
      <c r="J116" s="354"/>
      <c r="K116" s="354"/>
      <c r="L116" s="354"/>
      <c r="M116" s="354"/>
      <c r="N116" s="354"/>
      <c r="O116" s="354"/>
      <c r="P116" s="354"/>
      <c r="Q116" s="352"/>
      <c r="R116" s="352"/>
      <c r="S116" s="354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4"/>
      <c r="AE116" s="354"/>
      <c r="AF116" s="354"/>
      <c r="AG116" s="352"/>
      <c r="AH116" s="352"/>
      <c r="AI116" s="354"/>
      <c r="AJ116" s="354"/>
      <c r="AK116" s="354"/>
      <c r="AL116" s="354"/>
      <c r="AM116" s="354"/>
      <c r="AN116" s="354"/>
      <c r="AO116" s="354"/>
      <c r="AP116" s="354"/>
      <c r="AQ116" s="354"/>
      <c r="AR116" s="354"/>
      <c r="AS116" s="354"/>
      <c r="AT116" s="354"/>
      <c r="AU116" s="354"/>
      <c r="AV116" s="354"/>
      <c r="AW116" s="352"/>
      <c r="AX116" s="352"/>
      <c r="AY116" s="354"/>
      <c r="AZ116" s="354"/>
      <c r="BA116" s="354"/>
      <c r="BB116" s="354"/>
      <c r="BC116" s="354"/>
      <c r="BD116" s="354"/>
      <c r="BE116" s="354"/>
      <c r="BF116" s="354"/>
      <c r="BG116" s="354"/>
      <c r="BH116" s="354"/>
      <c r="BI116" s="354"/>
      <c r="BJ116" s="354"/>
      <c r="BK116" s="354"/>
      <c r="BL116" s="354"/>
      <c r="BM116" s="352"/>
      <c r="BN116" s="352"/>
      <c r="BO116" s="354"/>
      <c r="BP116" s="354"/>
      <c r="BQ116" s="354"/>
      <c r="BR116" s="354"/>
      <c r="BS116" s="354"/>
      <c r="BT116" s="354"/>
      <c r="BU116" s="354"/>
      <c r="BV116" s="354"/>
      <c r="BW116" s="354"/>
      <c r="BX116" s="354"/>
      <c r="BY116" s="354"/>
      <c r="BZ116" s="354"/>
      <c r="CA116" s="354"/>
    </row>
    <row r="119" spans="1:79" s="391" customFormat="1" x14ac:dyDescent="0.3">
      <c r="A119" s="352"/>
      <c r="B119" s="352"/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2"/>
      <c r="R119" s="352"/>
      <c r="S119" s="354"/>
      <c r="T119" s="354"/>
      <c r="U119" s="354"/>
      <c r="V119" s="354"/>
      <c r="W119" s="354"/>
      <c r="X119" s="354"/>
      <c r="Y119" s="354"/>
      <c r="Z119" s="354"/>
      <c r="AA119" s="354"/>
      <c r="AB119" s="354"/>
      <c r="AC119" s="354"/>
      <c r="AD119" s="354"/>
      <c r="AE119" s="354"/>
      <c r="AF119" s="354"/>
      <c r="AG119" s="352"/>
      <c r="AH119" s="352"/>
      <c r="AI119" s="354"/>
      <c r="AJ119" s="354"/>
      <c r="AK119" s="354"/>
      <c r="AL119" s="354"/>
      <c r="AM119" s="354"/>
      <c r="AN119" s="354"/>
      <c r="AO119" s="354"/>
      <c r="AP119" s="354"/>
      <c r="AQ119" s="354"/>
      <c r="AR119" s="354"/>
      <c r="AS119" s="354"/>
      <c r="AT119" s="354"/>
      <c r="AU119" s="354"/>
      <c r="AV119" s="354"/>
      <c r="AW119" s="352"/>
      <c r="AX119" s="352"/>
      <c r="AY119" s="354"/>
      <c r="AZ119" s="354"/>
      <c r="BA119" s="354"/>
      <c r="BB119" s="354"/>
      <c r="BC119" s="354"/>
      <c r="BD119" s="354"/>
      <c r="BE119" s="354"/>
      <c r="BF119" s="354"/>
      <c r="BG119" s="354"/>
      <c r="BH119" s="354"/>
      <c r="BI119" s="354"/>
      <c r="BJ119" s="354"/>
      <c r="BK119" s="354"/>
      <c r="BL119" s="354"/>
      <c r="BM119" s="352"/>
      <c r="BN119" s="352"/>
      <c r="BO119" s="354"/>
      <c r="BP119" s="354"/>
      <c r="BQ119" s="354"/>
      <c r="BR119" s="354"/>
      <c r="BS119" s="354"/>
      <c r="BT119" s="354"/>
      <c r="BU119" s="354"/>
      <c r="BV119" s="354"/>
      <c r="BW119" s="354"/>
      <c r="BX119" s="354"/>
      <c r="BY119" s="354"/>
      <c r="BZ119" s="354"/>
      <c r="CA119" s="354"/>
    </row>
    <row r="123" spans="1:79" ht="18" customHeight="1" x14ac:dyDescent="0.3"/>
    <row r="124" spans="1:79" ht="20.25" customHeight="1" x14ac:dyDescent="0.3"/>
    <row r="125" spans="1:79" s="364" customFormat="1" ht="20.25" customHeight="1" x14ac:dyDescent="0.3">
      <c r="A125" s="352"/>
      <c r="B125" s="352"/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2"/>
      <c r="R125" s="352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2"/>
      <c r="AH125" s="352"/>
      <c r="AI125" s="354"/>
      <c r="AJ125" s="354"/>
      <c r="AK125" s="354"/>
      <c r="AL125" s="354"/>
      <c r="AM125" s="354"/>
      <c r="AN125" s="354"/>
      <c r="AO125" s="354"/>
      <c r="AP125" s="354"/>
      <c r="AQ125" s="354"/>
      <c r="AR125" s="354"/>
      <c r="AS125" s="354"/>
      <c r="AT125" s="354"/>
      <c r="AU125" s="354"/>
      <c r="AV125" s="354"/>
      <c r="AW125" s="352"/>
      <c r="AX125" s="352"/>
      <c r="AY125" s="354"/>
      <c r="AZ125" s="354"/>
      <c r="BA125" s="354"/>
      <c r="BB125" s="354"/>
      <c r="BC125" s="354"/>
      <c r="BD125" s="354"/>
      <c r="BE125" s="354"/>
      <c r="BF125" s="354"/>
      <c r="BG125" s="354"/>
      <c r="BH125" s="354"/>
      <c r="BI125" s="354"/>
      <c r="BJ125" s="354"/>
      <c r="BK125" s="354"/>
      <c r="BL125" s="354"/>
      <c r="BM125" s="352"/>
      <c r="BN125" s="352"/>
      <c r="BO125" s="354"/>
      <c r="BP125" s="354"/>
      <c r="BQ125" s="354"/>
      <c r="BR125" s="354"/>
      <c r="BS125" s="354"/>
      <c r="BT125" s="354"/>
      <c r="BU125" s="354"/>
      <c r="BV125" s="354"/>
      <c r="BW125" s="354"/>
      <c r="BX125" s="354"/>
      <c r="BY125" s="354"/>
      <c r="BZ125" s="354"/>
      <c r="CA125" s="354"/>
    </row>
    <row r="126" spans="1:79" s="364" customFormat="1" x14ac:dyDescent="0.3">
      <c r="A126" s="352"/>
      <c r="B126" s="352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2"/>
      <c r="R126" s="352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2"/>
      <c r="AH126" s="352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2"/>
      <c r="AX126" s="352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2"/>
      <c r="BN126" s="352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</row>
    <row r="127" spans="1:79" s="364" customFormat="1" x14ac:dyDescent="0.3">
      <c r="A127" s="352"/>
      <c r="B127" s="352"/>
      <c r="C127" s="354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2"/>
      <c r="R127" s="352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2"/>
      <c r="AH127" s="352"/>
      <c r="AI127" s="354"/>
      <c r="AJ127" s="354"/>
      <c r="AK127" s="354"/>
      <c r="AL127" s="354"/>
      <c r="AM127" s="354"/>
      <c r="AN127" s="354"/>
      <c r="AO127" s="354"/>
      <c r="AP127" s="354"/>
      <c r="AQ127" s="354"/>
      <c r="AR127" s="354"/>
      <c r="AS127" s="354"/>
      <c r="AT127" s="354"/>
      <c r="AU127" s="354"/>
      <c r="AV127" s="354"/>
      <c r="AW127" s="352"/>
      <c r="AX127" s="352"/>
      <c r="AY127" s="354"/>
      <c r="AZ127" s="354"/>
      <c r="BA127" s="354"/>
      <c r="BB127" s="354"/>
      <c r="BC127" s="354"/>
      <c r="BD127" s="354"/>
      <c r="BE127" s="354"/>
      <c r="BF127" s="354"/>
      <c r="BG127" s="354"/>
      <c r="BH127" s="354"/>
      <c r="BI127" s="354"/>
      <c r="BJ127" s="354"/>
      <c r="BK127" s="354"/>
      <c r="BL127" s="354"/>
      <c r="BM127" s="352"/>
      <c r="BN127" s="352"/>
      <c r="BO127" s="354"/>
      <c r="BP127" s="354"/>
      <c r="BQ127" s="354"/>
      <c r="BR127" s="354"/>
      <c r="BS127" s="354"/>
      <c r="BT127" s="354"/>
      <c r="BU127" s="354"/>
      <c r="BV127" s="354"/>
      <c r="BW127" s="354"/>
      <c r="BX127" s="354"/>
      <c r="BY127" s="354"/>
      <c r="BZ127" s="354"/>
      <c r="CA127" s="354"/>
    </row>
    <row r="128" spans="1:79" s="364" customFormat="1" x14ac:dyDescent="0.3">
      <c r="A128" s="352"/>
      <c r="B128" s="352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2"/>
      <c r="R128" s="352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4"/>
      <c r="AG128" s="352"/>
      <c r="AH128" s="352"/>
      <c r="AI128" s="354"/>
      <c r="AJ128" s="354"/>
      <c r="AK128" s="354"/>
      <c r="AL128" s="354"/>
      <c r="AM128" s="354"/>
      <c r="AN128" s="354"/>
      <c r="AO128" s="354"/>
      <c r="AP128" s="354"/>
      <c r="AQ128" s="354"/>
      <c r="AR128" s="354"/>
      <c r="AS128" s="354"/>
      <c r="AT128" s="354"/>
      <c r="AU128" s="354"/>
      <c r="AV128" s="354"/>
      <c r="AW128" s="352"/>
      <c r="AX128" s="352"/>
      <c r="AY128" s="354"/>
      <c r="AZ128" s="354"/>
      <c r="BA128" s="354"/>
      <c r="BB128" s="354"/>
      <c r="BC128" s="354"/>
      <c r="BD128" s="354"/>
      <c r="BE128" s="354"/>
      <c r="BF128" s="354"/>
      <c r="BG128" s="354"/>
      <c r="BH128" s="354"/>
      <c r="BI128" s="354"/>
      <c r="BJ128" s="354"/>
      <c r="BK128" s="354"/>
      <c r="BL128" s="354"/>
      <c r="BM128" s="352"/>
      <c r="BN128" s="352"/>
      <c r="BO128" s="354"/>
      <c r="BP128" s="354"/>
      <c r="BQ128" s="354"/>
      <c r="BR128" s="354"/>
      <c r="BS128" s="354"/>
      <c r="BT128" s="354"/>
      <c r="BU128" s="354"/>
      <c r="BV128" s="354"/>
      <c r="BW128" s="354"/>
      <c r="BX128" s="354"/>
      <c r="BY128" s="354"/>
      <c r="BZ128" s="354"/>
      <c r="CA128" s="354"/>
    </row>
    <row r="131" spans="1:79" s="391" customFormat="1" ht="20.25" customHeight="1" x14ac:dyDescent="0.3">
      <c r="A131" s="352"/>
      <c r="B131" s="352"/>
      <c r="C131" s="354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2"/>
      <c r="R131" s="352"/>
      <c r="S131" s="354"/>
      <c r="T131" s="354"/>
      <c r="U131" s="354"/>
      <c r="V131" s="354"/>
      <c r="W131" s="354"/>
      <c r="X131" s="354"/>
      <c r="Y131" s="354"/>
      <c r="Z131" s="354"/>
      <c r="AA131" s="354"/>
      <c r="AB131" s="354"/>
      <c r="AC131" s="354"/>
      <c r="AD131" s="354"/>
      <c r="AE131" s="354"/>
      <c r="AF131" s="354"/>
      <c r="AG131" s="352"/>
      <c r="AH131" s="352"/>
      <c r="AI131" s="354"/>
      <c r="AJ131" s="354"/>
      <c r="AK131" s="354"/>
      <c r="AL131" s="354"/>
      <c r="AM131" s="354"/>
      <c r="AN131" s="354"/>
      <c r="AO131" s="354"/>
      <c r="AP131" s="354"/>
      <c r="AQ131" s="354"/>
      <c r="AR131" s="354"/>
      <c r="AS131" s="354"/>
      <c r="AT131" s="354"/>
      <c r="AU131" s="354"/>
      <c r="AV131" s="354"/>
      <c r="AW131" s="352"/>
      <c r="AX131" s="352"/>
      <c r="AY131" s="354"/>
      <c r="AZ131" s="354"/>
      <c r="BA131" s="354"/>
      <c r="BB131" s="354"/>
      <c r="BC131" s="354"/>
      <c r="BD131" s="354"/>
      <c r="BE131" s="354"/>
      <c r="BF131" s="354"/>
      <c r="BG131" s="354"/>
      <c r="BH131" s="354"/>
      <c r="BI131" s="354"/>
      <c r="BJ131" s="354"/>
      <c r="BK131" s="354"/>
      <c r="BL131" s="354"/>
      <c r="BM131" s="352"/>
      <c r="BN131" s="352"/>
      <c r="BO131" s="354"/>
      <c r="BP131" s="354"/>
      <c r="BQ131" s="354"/>
      <c r="BR131" s="354"/>
      <c r="BS131" s="354"/>
      <c r="BT131" s="354"/>
      <c r="BU131" s="354"/>
      <c r="BV131" s="354"/>
      <c r="BW131" s="354"/>
      <c r="BX131" s="354"/>
      <c r="BY131" s="354"/>
      <c r="BZ131" s="354"/>
      <c r="CA131" s="354"/>
    </row>
    <row r="132" spans="1:79" ht="16.5" customHeight="1" x14ac:dyDescent="0.3"/>
    <row r="133" spans="1:79" ht="25.5" customHeight="1" x14ac:dyDescent="0.3"/>
    <row r="134" spans="1:79" ht="29.25" customHeight="1" x14ac:dyDescent="0.3"/>
    <row r="135" spans="1:79" ht="60" customHeight="1" x14ac:dyDescent="0.3"/>
    <row r="136" spans="1:79" ht="20.25" customHeight="1" x14ac:dyDescent="0.3"/>
    <row r="137" spans="1:79" s="364" customFormat="1" ht="20.25" customHeight="1" x14ac:dyDescent="0.3">
      <c r="A137" s="352"/>
      <c r="B137" s="352"/>
      <c r="C137" s="354"/>
      <c r="D137" s="354"/>
      <c r="E137" s="354"/>
      <c r="F137" s="354"/>
      <c r="G137" s="354"/>
      <c r="H137" s="354"/>
      <c r="I137" s="354"/>
      <c r="J137" s="354"/>
      <c r="K137" s="354"/>
      <c r="L137" s="354"/>
      <c r="M137" s="354"/>
      <c r="N137" s="354"/>
      <c r="O137" s="354"/>
      <c r="P137" s="354"/>
      <c r="Q137" s="352"/>
      <c r="R137" s="352"/>
      <c r="S137" s="354"/>
      <c r="T137" s="354"/>
      <c r="U137" s="354"/>
      <c r="V137" s="354"/>
      <c r="W137" s="354"/>
      <c r="X137" s="354"/>
      <c r="Y137" s="354"/>
      <c r="Z137" s="354"/>
      <c r="AA137" s="354"/>
      <c r="AB137" s="354"/>
      <c r="AC137" s="354"/>
      <c r="AD137" s="354"/>
      <c r="AE137" s="354"/>
      <c r="AF137" s="354"/>
      <c r="AG137" s="352"/>
      <c r="AH137" s="352"/>
      <c r="AI137" s="354"/>
      <c r="AJ137" s="354"/>
      <c r="AK137" s="354"/>
      <c r="AL137" s="354"/>
      <c r="AM137" s="354"/>
      <c r="AN137" s="354"/>
      <c r="AO137" s="354"/>
      <c r="AP137" s="354"/>
      <c r="AQ137" s="354"/>
      <c r="AR137" s="354"/>
      <c r="AS137" s="354"/>
      <c r="AT137" s="354"/>
      <c r="AU137" s="354"/>
      <c r="AV137" s="354"/>
      <c r="AW137" s="352"/>
      <c r="AX137" s="352"/>
      <c r="AY137" s="354"/>
      <c r="AZ137" s="354"/>
      <c r="BA137" s="354"/>
      <c r="BB137" s="354"/>
      <c r="BC137" s="354"/>
      <c r="BD137" s="354"/>
      <c r="BE137" s="354"/>
      <c r="BF137" s="354"/>
      <c r="BG137" s="354"/>
      <c r="BH137" s="354"/>
      <c r="BI137" s="354"/>
      <c r="BJ137" s="354"/>
      <c r="BK137" s="354"/>
      <c r="BL137" s="354"/>
      <c r="BM137" s="352"/>
      <c r="BN137" s="352"/>
      <c r="BO137" s="354"/>
      <c r="BP137" s="354"/>
      <c r="BQ137" s="354"/>
      <c r="BR137" s="354"/>
      <c r="BS137" s="354"/>
      <c r="BT137" s="354"/>
      <c r="BU137" s="354"/>
      <c r="BV137" s="354"/>
      <c r="BW137" s="354"/>
      <c r="BX137" s="354"/>
      <c r="BY137" s="354"/>
      <c r="BZ137" s="354"/>
      <c r="CA137" s="354"/>
    </row>
    <row r="138" spans="1:79" s="364" customFormat="1" x14ac:dyDescent="0.3">
      <c r="A138" s="352"/>
      <c r="B138" s="352"/>
      <c r="C138" s="354"/>
      <c r="D138" s="354"/>
      <c r="E138" s="354"/>
      <c r="F138" s="354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2"/>
      <c r="R138" s="352"/>
      <c r="S138" s="354"/>
      <c r="T138" s="354"/>
      <c r="U138" s="354"/>
      <c r="V138" s="354"/>
      <c r="W138" s="354"/>
      <c r="X138" s="354"/>
      <c r="Y138" s="354"/>
      <c r="Z138" s="354"/>
      <c r="AA138" s="354"/>
      <c r="AB138" s="354"/>
      <c r="AC138" s="354"/>
      <c r="AD138" s="354"/>
      <c r="AE138" s="354"/>
      <c r="AF138" s="354"/>
      <c r="AG138" s="352"/>
      <c r="AH138" s="352"/>
      <c r="AI138" s="354"/>
      <c r="AJ138" s="354"/>
      <c r="AK138" s="354"/>
      <c r="AL138" s="354"/>
      <c r="AM138" s="354"/>
      <c r="AN138" s="354"/>
      <c r="AO138" s="354"/>
      <c r="AP138" s="354"/>
      <c r="AQ138" s="354"/>
      <c r="AR138" s="354"/>
      <c r="AS138" s="354"/>
      <c r="AT138" s="354"/>
      <c r="AU138" s="354"/>
      <c r="AV138" s="354"/>
      <c r="AW138" s="352"/>
      <c r="AX138" s="352"/>
      <c r="AY138" s="354"/>
      <c r="AZ138" s="354"/>
      <c r="BA138" s="354"/>
      <c r="BB138" s="354"/>
      <c r="BC138" s="354"/>
      <c r="BD138" s="354"/>
      <c r="BE138" s="354"/>
      <c r="BF138" s="354"/>
      <c r="BG138" s="354"/>
      <c r="BH138" s="354"/>
      <c r="BI138" s="354"/>
      <c r="BJ138" s="354"/>
      <c r="BK138" s="354"/>
      <c r="BL138" s="354"/>
      <c r="BM138" s="352"/>
      <c r="BN138" s="352"/>
      <c r="BO138" s="354"/>
      <c r="BP138" s="354"/>
      <c r="BQ138" s="354"/>
      <c r="BR138" s="354"/>
      <c r="BS138" s="354"/>
      <c r="BT138" s="354"/>
      <c r="BU138" s="354"/>
      <c r="BV138" s="354"/>
      <c r="BW138" s="354"/>
      <c r="BX138" s="354"/>
      <c r="BY138" s="354"/>
      <c r="BZ138" s="354"/>
      <c r="CA138" s="354"/>
    </row>
    <row r="139" spans="1:79" s="364" customFormat="1" x14ac:dyDescent="0.3">
      <c r="A139" s="352"/>
      <c r="B139" s="352"/>
      <c r="C139" s="354"/>
      <c r="D139" s="354"/>
      <c r="E139" s="354"/>
      <c r="F139" s="354"/>
      <c r="G139" s="354"/>
      <c r="H139" s="354"/>
      <c r="I139" s="354"/>
      <c r="J139" s="354"/>
      <c r="K139" s="354"/>
      <c r="L139" s="354"/>
      <c r="M139" s="354"/>
      <c r="N139" s="354"/>
      <c r="O139" s="354"/>
      <c r="P139" s="354"/>
      <c r="Q139" s="352"/>
      <c r="R139" s="352"/>
      <c r="S139" s="354"/>
      <c r="T139" s="354"/>
      <c r="U139" s="354"/>
      <c r="V139" s="354"/>
      <c r="W139" s="354"/>
      <c r="X139" s="354"/>
      <c r="Y139" s="354"/>
      <c r="Z139" s="354"/>
      <c r="AA139" s="354"/>
      <c r="AB139" s="354"/>
      <c r="AC139" s="354"/>
      <c r="AD139" s="354"/>
      <c r="AE139" s="354"/>
      <c r="AF139" s="354"/>
      <c r="AG139" s="352"/>
      <c r="AH139" s="352"/>
      <c r="AI139" s="354"/>
      <c r="AJ139" s="354"/>
      <c r="AK139" s="354"/>
      <c r="AL139" s="354"/>
      <c r="AM139" s="354"/>
      <c r="AN139" s="354"/>
      <c r="AO139" s="354"/>
      <c r="AP139" s="354"/>
      <c r="AQ139" s="354"/>
      <c r="AR139" s="354"/>
      <c r="AS139" s="354"/>
      <c r="AT139" s="354"/>
      <c r="AU139" s="354"/>
      <c r="AV139" s="354"/>
      <c r="AW139" s="352"/>
      <c r="AX139" s="352"/>
      <c r="AY139" s="354"/>
      <c r="AZ139" s="354"/>
      <c r="BA139" s="354"/>
      <c r="BB139" s="354"/>
      <c r="BC139" s="354"/>
      <c r="BD139" s="354"/>
      <c r="BE139" s="354"/>
      <c r="BF139" s="354"/>
      <c r="BG139" s="354"/>
      <c r="BH139" s="354"/>
      <c r="BI139" s="354"/>
      <c r="BJ139" s="354"/>
      <c r="BK139" s="354"/>
      <c r="BL139" s="354"/>
      <c r="BM139" s="352"/>
      <c r="BN139" s="352"/>
      <c r="BO139" s="354"/>
      <c r="BP139" s="354"/>
      <c r="BQ139" s="354"/>
      <c r="BR139" s="354"/>
      <c r="BS139" s="354"/>
      <c r="BT139" s="354"/>
      <c r="BU139" s="354"/>
      <c r="BV139" s="354"/>
      <c r="BW139" s="354"/>
      <c r="BX139" s="354"/>
      <c r="BY139" s="354"/>
      <c r="BZ139" s="354"/>
      <c r="CA139" s="354"/>
    </row>
    <row r="140" spans="1:79" s="364" customFormat="1" x14ac:dyDescent="0.3">
      <c r="A140" s="352"/>
      <c r="B140" s="352"/>
      <c r="C140" s="354"/>
      <c r="D140" s="354"/>
      <c r="E140" s="354"/>
      <c r="F140" s="354"/>
      <c r="G140" s="354"/>
      <c r="H140" s="354"/>
      <c r="I140" s="354"/>
      <c r="J140" s="354"/>
      <c r="K140" s="354"/>
      <c r="L140" s="354"/>
      <c r="M140" s="354"/>
      <c r="N140" s="354"/>
      <c r="O140" s="354"/>
      <c r="P140" s="354"/>
      <c r="Q140" s="352"/>
      <c r="R140" s="352"/>
      <c r="S140" s="354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4"/>
      <c r="AG140" s="352"/>
      <c r="AH140" s="352"/>
      <c r="AI140" s="354"/>
      <c r="AJ140" s="354"/>
      <c r="AK140" s="354"/>
      <c r="AL140" s="354"/>
      <c r="AM140" s="354"/>
      <c r="AN140" s="354"/>
      <c r="AO140" s="354"/>
      <c r="AP140" s="354"/>
      <c r="AQ140" s="354"/>
      <c r="AR140" s="354"/>
      <c r="AS140" s="354"/>
      <c r="AT140" s="354"/>
      <c r="AU140" s="354"/>
      <c r="AV140" s="354"/>
      <c r="AW140" s="352"/>
      <c r="AX140" s="352"/>
      <c r="AY140" s="354"/>
      <c r="AZ140" s="354"/>
      <c r="BA140" s="354"/>
      <c r="BB140" s="354"/>
      <c r="BC140" s="354"/>
      <c r="BD140" s="354"/>
      <c r="BE140" s="354"/>
      <c r="BF140" s="354"/>
      <c r="BG140" s="354"/>
      <c r="BH140" s="354"/>
      <c r="BI140" s="354"/>
      <c r="BJ140" s="354"/>
      <c r="BK140" s="354"/>
      <c r="BL140" s="354"/>
      <c r="BM140" s="352"/>
      <c r="BN140" s="352"/>
      <c r="BO140" s="354"/>
      <c r="BP140" s="354"/>
      <c r="BQ140" s="354"/>
      <c r="BR140" s="354"/>
      <c r="BS140" s="354"/>
      <c r="BT140" s="354"/>
      <c r="BU140" s="354"/>
      <c r="BV140" s="354"/>
      <c r="BW140" s="354"/>
      <c r="BX140" s="354"/>
      <c r="BY140" s="354"/>
      <c r="BZ140" s="354"/>
      <c r="CA140" s="354"/>
    </row>
    <row r="143" spans="1:79" s="391" customFormat="1" x14ac:dyDescent="0.3">
      <c r="A143" s="352"/>
      <c r="B143" s="352"/>
      <c r="C143" s="354"/>
      <c r="D143" s="354"/>
      <c r="E143" s="354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54"/>
      <c r="Q143" s="352"/>
      <c r="R143" s="352"/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354"/>
      <c r="AE143" s="354"/>
      <c r="AF143" s="354"/>
      <c r="AG143" s="352"/>
      <c r="AH143" s="352"/>
      <c r="AI143" s="354"/>
      <c r="AJ143" s="354"/>
      <c r="AK143" s="354"/>
      <c r="AL143" s="354"/>
      <c r="AM143" s="354"/>
      <c r="AN143" s="354"/>
      <c r="AO143" s="354"/>
      <c r="AP143" s="354"/>
      <c r="AQ143" s="354"/>
      <c r="AR143" s="354"/>
      <c r="AS143" s="354"/>
      <c r="AT143" s="354"/>
      <c r="AU143" s="354"/>
      <c r="AV143" s="354"/>
      <c r="AW143" s="352"/>
      <c r="AX143" s="352"/>
      <c r="AY143" s="354"/>
      <c r="AZ143" s="354"/>
      <c r="BA143" s="354"/>
      <c r="BB143" s="354"/>
      <c r="BC143" s="354"/>
      <c r="BD143" s="354"/>
      <c r="BE143" s="354"/>
      <c r="BF143" s="354"/>
      <c r="BG143" s="354"/>
      <c r="BH143" s="354"/>
      <c r="BI143" s="354"/>
      <c r="BJ143" s="354"/>
      <c r="BK143" s="354"/>
      <c r="BL143" s="354"/>
      <c r="BM143" s="352"/>
      <c r="BN143" s="352"/>
      <c r="BO143" s="354"/>
      <c r="BP143" s="354"/>
      <c r="BQ143" s="354"/>
      <c r="BR143" s="354"/>
      <c r="BS143" s="354"/>
      <c r="BT143" s="354"/>
      <c r="BU143" s="354"/>
      <c r="BV143" s="354"/>
      <c r="BW143" s="354"/>
      <c r="BX143" s="354"/>
      <c r="BY143" s="354"/>
      <c r="BZ143" s="354"/>
      <c r="CA143" s="354"/>
    </row>
    <row r="145" spans="1:79" ht="28.5" customHeight="1" x14ac:dyDescent="0.3"/>
    <row r="146" spans="1:79" ht="30.75" customHeight="1" x14ac:dyDescent="0.3"/>
    <row r="147" spans="1:79" ht="54.9" customHeight="1" x14ac:dyDescent="0.3"/>
    <row r="148" spans="1:79" ht="20.25" customHeight="1" x14ac:dyDescent="0.3"/>
    <row r="149" spans="1:79" ht="20.25" customHeight="1" x14ac:dyDescent="0.3"/>
    <row r="150" spans="1:79" s="364" customFormat="1" x14ac:dyDescent="0.3">
      <c r="A150" s="352"/>
      <c r="B150" s="352"/>
      <c r="C150" s="354"/>
      <c r="D150" s="354"/>
      <c r="E150" s="354"/>
      <c r="F150" s="354"/>
      <c r="G150" s="354"/>
      <c r="H150" s="354"/>
      <c r="I150" s="354"/>
      <c r="J150" s="354"/>
      <c r="K150" s="354"/>
      <c r="L150" s="354"/>
      <c r="M150" s="354"/>
      <c r="N150" s="354"/>
      <c r="O150" s="354"/>
      <c r="P150" s="354"/>
      <c r="Q150" s="352"/>
      <c r="R150" s="352"/>
      <c r="S150" s="354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4"/>
      <c r="AG150" s="352"/>
      <c r="AH150" s="352"/>
      <c r="AI150" s="354"/>
      <c r="AJ150" s="354"/>
      <c r="AK150" s="354"/>
      <c r="AL150" s="354"/>
      <c r="AM150" s="354"/>
      <c r="AN150" s="354"/>
      <c r="AO150" s="354"/>
      <c r="AP150" s="354"/>
      <c r="AQ150" s="354"/>
      <c r="AR150" s="354"/>
      <c r="AS150" s="354"/>
      <c r="AT150" s="354"/>
      <c r="AU150" s="354"/>
      <c r="AV150" s="354"/>
      <c r="AW150" s="352"/>
      <c r="AX150" s="352"/>
      <c r="AY150" s="354"/>
      <c r="AZ150" s="354"/>
      <c r="BA150" s="354"/>
      <c r="BB150" s="354"/>
      <c r="BC150" s="354"/>
      <c r="BD150" s="354"/>
      <c r="BE150" s="354"/>
      <c r="BF150" s="354"/>
      <c r="BG150" s="354"/>
      <c r="BH150" s="354"/>
      <c r="BI150" s="354"/>
      <c r="BJ150" s="354"/>
      <c r="BK150" s="354"/>
      <c r="BL150" s="354"/>
      <c r="BM150" s="352"/>
      <c r="BN150" s="352"/>
      <c r="BO150" s="354"/>
      <c r="BP150" s="354"/>
      <c r="BQ150" s="354"/>
      <c r="BR150" s="354"/>
      <c r="BS150" s="354"/>
      <c r="BT150" s="354"/>
      <c r="BU150" s="354"/>
      <c r="BV150" s="354"/>
      <c r="BW150" s="354"/>
      <c r="BX150" s="354"/>
      <c r="BY150" s="354"/>
      <c r="BZ150" s="354"/>
      <c r="CA150" s="354"/>
    </row>
    <row r="151" spans="1:79" s="364" customFormat="1" x14ac:dyDescent="0.3">
      <c r="A151" s="352"/>
      <c r="B151" s="352"/>
      <c r="C151" s="354"/>
      <c r="D151" s="354"/>
      <c r="E151" s="354"/>
      <c r="F151" s="354"/>
      <c r="G151" s="354"/>
      <c r="H151" s="354"/>
      <c r="I151" s="354"/>
      <c r="J151" s="354"/>
      <c r="K151" s="354"/>
      <c r="L151" s="354"/>
      <c r="M151" s="354"/>
      <c r="N151" s="354"/>
      <c r="O151" s="354"/>
      <c r="P151" s="354"/>
      <c r="Q151" s="352"/>
      <c r="R151" s="352"/>
      <c r="S151" s="354"/>
      <c r="T151" s="354"/>
      <c r="U151" s="354"/>
      <c r="V151" s="354"/>
      <c r="W151" s="354"/>
      <c r="X151" s="354"/>
      <c r="Y151" s="354"/>
      <c r="Z151" s="354"/>
      <c r="AA151" s="354"/>
      <c r="AB151" s="354"/>
      <c r="AC151" s="354"/>
      <c r="AD151" s="354"/>
      <c r="AE151" s="354"/>
      <c r="AF151" s="354"/>
      <c r="AG151" s="352"/>
      <c r="AH151" s="352"/>
      <c r="AI151" s="354"/>
      <c r="AJ151" s="354"/>
      <c r="AK151" s="354"/>
      <c r="AL151" s="354"/>
      <c r="AM151" s="354"/>
      <c r="AN151" s="354"/>
      <c r="AO151" s="354"/>
      <c r="AP151" s="354"/>
      <c r="AQ151" s="354"/>
      <c r="AR151" s="354"/>
      <c r="AS151" s="354"/>
      <c r="AT151" s="354"/>
      <c r="AU151" s="354"/>
      <c r="AV151" s="354"/>
      <c r="AW151" s="352"/>
      <c r="AX151" s="352"/>
      <c r="AY151" s="354"/>
      <c r="AZ151" s="354"/>
      <c r="BA151" s="354"/>
      <c r="BB151" s="354"/>
      <c r="BC151" s="354"/>
      <c r="BD151" s="354"/>
      <c r="BE151" s="354"/>
      <c r="BF151" s="354"/>
      <c r="BG151" s="354"/>
      <c r="BH151" s="354"/>
      <c r="BI151" s="354"/>
      <c r="BJ151" s="354"/>
      <c r="BK151" s="354"/>
      <c r="BL151" s="354"/>
      <c r="BM151" s="352"/>
      <c r="BN151" s="352"/>
      <c r="BO151" s="354"/>
      <c r="BP151" s="354"/>
      <c r="BQ151" s="354"/>
      <c r="BR151" s="354"/>
      <c r="BS151" s="354"/>
      <c r="BT151" s="354"/>
      <c r="BU151" s="354"/>
      <c r="BV151" s="354"/>
      <c r="BW151" s="354"/>
      <c r="BX151" s="354"/>
      <c r="BY151" s="354"/>
      <c r="BZ151" s="354"/>
      <c r="CA151" s="354"/>
    </row>
    <row r="152" spans="1:79" s="364" customFormat="1" x14ac:dyDescent="0.3">
      <c r="A152" s="352"/>
      <c r="B152" s="352"/>
      <c r="C152" s="354"/>
      <c r="D152" s="354"/>
      <c r="E152" s="354"/>
      <c r="F152" s="354"/>
      <c r="G152" s="354"/>
      <c r="H152" s="354"/>
      <c r="I152" s="354"/>
      <c r="J152" s="354"/>
      <c r="K152" s="354"/>
      <c r="L152" s="354"/>
      <c r="M152" s="354"/>
      <c r="N152" s="354"/>
      <c r="O152" s="354"/>
      <c r="P152" s="354"/>
      <c r="Q152" s="352"/>
      <c r="R152" s="352"/>
      <c r="S152" s="354"/>
      <c r="T152" s="354"/>
      <c r="U152" s="354"/>
      <c r="V152" s="354"/>
      <c r="W152" s="354"/>
      <c r="X152" s="354"/>
      <c r="Y152" s="354"/>
      <c r="Z152" s="354"/>
      <c r="AA152" s="354"/>
      <c r="AB152" s="354"/>
      <c r="AC152" s="354"/>
      <c r="AD152" s="354"/>
      <c r="AE152" s="354"/>
      <c r="AF152" s="354"/>
      <c r="AG152" s="352"/>
      <c r="AH152" s="352"/>
      <c r="AI152" s="354"/>
      <c r="AJ152" s="354"/>
      <c r="AK152" s="354"/>
      <c r="AL152" s="354"/>
      <c r="AM152" s="354"/>
      <c r="AN152" s="354"/>
      <c r="AO152" s="354"/>
      <c r="AP152" s="354"/>
      <c r="AQ152" s="354"/>
      <c r="AR152" s="354"/>
      <c r="AS152" s="354"/>
      <c r="AT152" s="354"/>
      <c r="AU152" s="354"/>
      <c r="AV152" s="354"/>
      <c r="AW152" s="352"/>
      <c r="AX152" s="352"/>
      <c r="AY152" s="354"/>
      <c r="AZ152" s="354"/>
      <c r="BA152" s="354"/>
      <c r="BB152" s="354"/>
      <c r="BC152" s="354"/>
      <c r="BD152" s="354"/>
      <c r="BE152" s="354"/>
      <c r="BF152" s="354"/>
      <c r="BG152" s="354"/>
      <c r="BH152" s="354"/>
      <c r="BI152" s="354"/>
      <c r="BJ152" s="354"/>
      <c r="BK152" s="354"/>
      <c r="BL152" s="354"/>
      <c r="BM152" s="352"/>
      <c r="BN152" s="352"/>
      <c r="BO152" s="354"/>
      <c r="BP152" s="354"/>
      <c r="BQ152" s="354"/>
      <c r="BR152" s="354"/>
      <c r="BS152" s="354"/>
      <c r="BT152" s="354"/>
      <c r="BU152" s="354"/>
      <c r="BV152" s="354"/>
      <c r="BW152" s="354"/>
      <c r="BX152" s="354"/>
      <c r="BY152" s="354"/>
      <c r="BZ152" s="354"/>
      <c r="CA152" s="354"/>
    </row>
    <row r="155" spans="1:79" s="391" customFormat="1" x14ac:dyDescent="0.3">
      <c r="A155" s="352"/>
      <c r="B155" s="352"/>
      <c r="C155" s="354"/>
      <c r="D155" s="354"/>
      <c r="E155" s="354"/>
      <c r="F155" s="354"/>
      <c r="G155" s="354"/>
      <c r="H155" s="354"/>
      <c r="I155" s="354"/>
      <c r="J155" s="354"/>
      <c r="K155" s="354"/>
      <c r="L155" s="354"/>
      <c r="M155" s="354"/>
      <c r="N155" s="354"/>
      <c r="O155" s="354"/>
      <c r="P155" s="354"/>
      <c r="Q155" s="352"/>
      <c r="R155" s="352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2"/>
      <c r="AH155" s="352"/>
      <c r="AI155" s="354"/>
      <c r="AJ155" s="354"/>
      <c r="AK155" s="354"/>
      <c r="AL155" s="354"/>
      <c r="AM155" s="354"/>
      <c r="AN155" s="354"/>
      <c r="AO155" s="354"/>
      <c r="AP155" s="354"/>
      <c r="AQ155" s="354"/>
      <c r="AR155" s="354"/>
      <c r="AS155" s="354"/>
      <c r="AT155" s="354"/>
      <c r="AU155" s="354"/>
      <c r="AV155" s="354"/>
      <c r="AW155" s="352"/>
      <c r="AX155" s="352"/>
      <c r="AY155" s="354"/>
      <c r="AZ155" s="354"/>
      <c r="BA155" s="354"/>
      <c r="BB155" s="354"/>
      <c r="BC155" s="354"/>
      <c r="BD155" s="354"/>
      <c r="BE155" s="354"/>
      <c r="BF155" s="354"/>
      <c r="BG155" s="354"/>
      <c r="BH155" s="354"/>
      <c r="BI155" s="354"/>
      <c r="BJ155" s="354"/>
      <c r="BK155" s="354"/>
      <c r="BL155" s="354"/>
      <c r="BM155" s="352"/>
      <c r="BN155" s="352"/>
      <c r="BO155" s="354"/>
      <c r="BP155" s="354"/>
      <c r="BQ155" s="354"/>
      <c r="BR155" s="354"/>
      <c r="BS155" s="354"/>
      <c r="BT155" s="354"/>
      <c r="BU155" s="354"/>
      <c r="BV155" s="354"/>
      <c r="BW155" s="354"/>
      <c r="BX155" s="354"/>
      <c r="BY155" s="354"/>
      <c r="BZ155" s="354"/>
      <c r="CA155" s="354"/>
    </row>
    <row r="158" spans="1:79" ht="31.65" customHeight="1" x14ac:dyDescent="0.3"/>
    <row r="159" spans="1:79" ht="54.9" customHeight="1" x14ac:dyDescent="0.3"/>
    <row r="160" spans="1:79" ht="20.25" customHeight="1" x14ac:dyDescent="0.3"/>
    <row r="161" spans="1:79" ht="20.25" customHeight="1" x14ac:dyDescent="0.3"/>
    <row r="162" spans="1:79" s="364" customFormat="1" x14ac:dyDescent="0.3">
      <c r="A162" s="352"/>
      <c r="B162" s="352"/>
      <c r="C162" s="354"/>
      <c r="D162" s="354"/>
      <c r="E162" s="354"/>
      <c r="F162" s="354"/>
      <c r="G162" s="354"/>
      <c r="H162" s="354"/>
      <c r="I162" s="354"/>
      <c r="J162" s="354"/>
      <c r="K162" s="354"/>
      <c r="L162" s="354"/>
      <c r="M162" s="354"/>
      <c r="N162" s="354"/>
      <c r="O162" s="354"/>
      <c r="P162" s="354"/>
      <c r="Q162" s="352"/>
      <c r="R162" s="352"/>
      <c r="S162" s="354"/>
      <c r="T162" s="354"/>
      <c r="U162" s="354"/>
      <c r="V162" s="354"/>
      <c r="W162" s="354"/>
      <c r="X162" s="354"/>
      <c r="Y162" s="354"/>
      <c r="Z162" s="354"/>
      <c r="AA162" s="354"/>
      <c r="AB162" s="354"/>
      <c r="AC162" s="354"/>
      <c r="AD162" s="354"/>
      <c r="AE162" s="354"/>
      <c r="AF162" s="354"/>
      <c r="AG162" s="352"/>
      <c r="AH162" s="352"/>
      <c r="AI162" s="354"/>
      <c r="AJ162" s="354"/>
      <c r="AK162" s="354"/>
      <c r="AL162" s="354"/>
      <c r="AM162" s="354"/>
      <c r="AN162" s="354"/>
      <c r="AO162" s="354"/>
      <c r="AP162" s="354"/>
      <c r="AQ162" s="354"/>
      <c r="AR162" s="354"/>
      <c r="AS162" s="354"/>
      <c r="AT162" s="354"/>
      <c r="AU162" s="354"/>
      <c r="AV162" s="354"/>
      <c r="AW162" s="352"/>
      <c r="AX162" s="352"/>
      <c r="AY162" s="354"/>
      <c r="AZ162" s="354"/>
      <c r="BA162" s="354"/>
      <c r="BB162" s="354"/>
      <c r="BC162" s="354"/>
      <c r="BD162" s="354"/>
      <c r="BE162" s="354"/>
      <c r="BF162" s="354"/>
      <c r="BG162" s="354"/>
      <c r="BH162" s="354"/>
      <c r="BI162" s="354"/>
      <c r="BJ162" s="354"/>
      <c r="BK162" s="354"/>
      <c r="BL162" s="354"/>
      <c r="BM162" s="352"/>
      <c r="BN162" s="352"/>
      <c r="BO162" s="354"/>
      <c r="BP162" s="354"/>
      <c r="BQ162" s="354"/>
      <c r="BR162" s="354"/>
      <c r="BS162" s="354"/>
      <c r="BT162" s="354"/>
      <c r="BU162" s="354"/>
      <c r="BV162" s="354"/>
      <c r="BW162" s="354"/>
      <c r="BX162" s="354"/>
      <c r="BY162" s="354"/>
      <c r="BZ162" s="354"/>
      <c r="CA162" s="354"/>
    </row>
    <row r="164" spans="1:79" s="364" customFormat="1" x14ac:dyDescent="0.3">
      <c r="A164" s="352"/>
      <c r="B164" s="352"/>
      <c r="C164" s="354"/>
      <c r="D164" s="354"/>
      <c r="E164" s="354"/>
      <c r="F164" s="354"/>
      <c r="G164" s="354"/>
      <c r="H164" s="354"/>
      <c r="I164" s="354"/>
      <c r="J164" s="354"/>
      <c r="K164" s="354"/>
      <c r="L164" s="354"/>
      <c r="M164" s="354"/>
      <c r="N164" s="354"/>
      <c r="O164" s="354"/>
      <c r="P164" s="354"/>
      <c r="Q164" s="352"/>
      <c r="R164" s="352"/>
      <c r="S164" s="354"/>
      <c r="T164" s="354"/>
      <c r="U164" s="354"/>
      <c r="V164" s="354"/>
      <c r="W164" s="354"/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2"/>
      <c r="AH164" s="352"/>
      <c r="AI164" s="354"/>
      <c r="AJ164" s="354"/>
      <c r="AK164" s="354"/>
      <c r="AL164" s="354"/>
      <c r="AM164" s="354"/>
      <c r="AN164" s="354"/>
      <c r="AO164" s="354"/>
      <c r="AP164" s="354"/>
      <c r="AQ164" s="354"/>
      <c r="AR164" s="354"/>
      <c r="AS164" s="354"/>
      <c r="AT164" s="354"/>
      <c r="AU164" s="354"/>
      <c r="AV164" s="354"/>
      <c r="AW164" s="352"/>
      <c r="AX164" s="352"/>
      <c r="AY164" s="354"/>
      <c r="AZ164" s="354"/>
      <c r="BA164" s="354"/>
      <c r="BB164" s="354"/>
      <c r="BC164" s="354"/>
      <c r="BD164" s="354"/>
      <c r="BE164" s="354"/>
      <c r="BF164" s="354"/>
      <c r="BG164" s="354"/>
      <c r="BH164" s="354"/>
      <c r="BI164" s="354"/>
      <c r="BJ164" s="354"/>
      <c r="BK164" s="354"/>
      <c r="BL164" s="354"/>
      <c r="BM164" s="352"/>
      <c r="BN164" s="352"/>
      <c r="BO164" s="354"/>
      <c r="BP164" s="354"/>
      <c r="BQ164" s="354"/>
      <c r="BR164" s="354"/>
      <c r="BS164" s="354"/>
      <c r="BT164" s="354"/>
      <c r="BU164" s="354"/>
      <c r="BV164" s="354"/>
      <c r="BW164" s="354"/>
      <c r="BX164" s="354"/>
      <c r="BY164" s="354"/>
      <c r="BZ164" s="354"/>
      <c r="CA164" s="354"/>
    </row>
    <row r="167" spans="1:79" s="391" customFormat="1" x14ac:dyDescent="0.3">
      <c r="A167" s="352"/>
      <c r="B167" s="352"/>
      <c r="C167" s="354"/>
      <c r="D167" s="354"/>
      <c r="E167" s="354"/>
      <c r="F167" s="354"/>
      <c r="G167" s="354"/>
      <c r="H167" s="354"/>
      <c r="I167" s="354"/>
      <c r="J167" s="354"/>
      <c r="K167" s="354"/>
      <c r="L167" s="354"/>
      <c r="M167" s="354"/>
      <c r="N167" s="354"/>
      <c r="O167" s="354"/>
      <c r="P167" s="354"/>
      <c r="Q167" s="352"/>
      <c r="R167" s="352"/>
      <c r="S167" s="354"/>
      <c r="T167" s="354"/>
      <c r="U167" s="354"/>
      <c r="V167" s="354"/>
      <c r="W167" s="354"/>
      <c r="X167" s="354"/>
      <c r="Y167" s="354"/>
      <c r="Z167" s="354"/>
      <c r="AA167" s="354"/>
      <c r="AB167" s="354"/>
      <c r="AC167" s="354"/>
      <c r="AD167" s="354"/>
      <c r="AE167" s="354"/>
      <c r="AF167" s="354"/>
      <c r="AG167" s="352"/>
      <c r="AH167" s="352"/>
      <c r="AI167" s="354"/>
      <c r="AJ167" s="354"/>
      <c r="AK167" s="354"/>
      <c r="AL167" s="354"/>
      <c r="AM167" s="354"/>
      <c r="AN167" s="354"/>
      <c r="AO167" s="354"/>
      <c r="AP167" s="354"/>
      <c r="AQ167" s="354"/>
      <c r="AR167" s="354"/>
      <c r="AS167" s="354"/>
      <c r="AT167" s="354"/>
      <c r="AU167" s="354"/>
      <c r="AV167" s="354"/>
      <c r="AW167" s="352"/>
      <c r="AX167" s="352"/>
      <c r="AY167" s="354"/>
      <c r="AZ167" s="354"/>
      <c r="BA167" s="354"/>
      <c r="BB167" s="354"/>
      <c r="BC167" s="354"/>
      <c r="BD167" s="354"/>
      <c r="BE167" s="354"/>
      <c r="BF167" s="354"/>
      <c r="BG167" s="354"/>
      <c r="BH167" s="354"/>
      <c r="BI167" s="354"/>
      <c r="BJ167" s="354"/>
      <c r="BK167" s="354"/>
      <c r="BL167" s="354"/>
      <c r="BM167" s="352"/>
      <c r="BN167" s="352"/>
      <c r="BO167" s="354"/>
      <c r="BP167" s="354"/>
      <c r="BQ167" s="354"/>
      <c r="BR167" s="354"/>
      <c r="BS167" s="354"/>
      <c r="BT167" s="354"/>
      <c r="BU167" s="354"/>
      <c r="BV167" s="354"/>
      <c r="BW167" s="354"/>
      <c r="BX167" s="354"/>
      <c r="BY167" s="354"/>
      <c r="BZ167" s="354"/>
      <c r="CA167" s="354"/>
    </row>
    <row r="171" spans="1:79" ht="54.9" customHeight="1" x14ac:dyDescent="0.3"/>
    <row r="172" spans="1:79" ht="20.25" customHeight="1" x14ac:dyDescent="0.3"/>
    <row r="173" spans="1:79" ht="20.25" customHeight="1" x14ac:dyDescent="0.3"/>
    <row r="174" spans="1:79" s="364" customFormat="1" x14ac:dyDescent="0.3">
      <c r="A174" s="352"/>
      <c r="B174" s="352"/>
      <c r="C174" s="354"/>
      <c r="D174" s="354"/>
      <c r="E174" s="354"/>
      <c r="F174" s="354"/>
      <c r="G174" s="354"/>
      <c r="H174" s="354"/>
      <c r="I174" s="354"/>
      <c r="J174" s="354"/>
      <c r="K174" s="354"/>
      <c r="L174" s="354"/>
      <c r="M174" s="354"/>
      <c r="N174" s="354"/>
      <c r="O174" s="354"/>
      <c r="P174" s="354"/>
      <c r="Q174" s="352"/>
      <c r="R174" s="352"/>
      <c r="S174" s="354"/>
      <c r="T174" s="354"/>
      <c r="U174" s="354"/>
      <c r="V174" s="354"/>
      <c r="W174" s="354"/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2"/>
      <c r="AH174" s="352"/>
      <c r="AI174" s="354"/>
      <c r="AJ174" s="354"/>
      <c r="AK174" s="354"/>
      <c r="AL174" s="354"/>
      <c r="AM174" s="354"/>
      <c r="AN174" s="354"/>
      <c r="AO174" s="354"/>
      <c r="AP174" s="354"/>
      <c r="AQ174" s="354"/>
      <c r="AR174" s="354"/>
      <c r="AS174" s="354"/>
      <c r="AT174" s="354"/>
      <c r="AU174" s="354"/>
      <c r="AV174" s="354"/>
      <c r="AW174" s="352"/>
      <c r="AX174" s="352"/>
      <c r="AY174" s="354"/>
      <c r="AZ174" s="354"/>
      <c r="BA174" s="354"/>
      <c r="BB174" s="354"/>
      <c r="BC174" s="354"/>
      <c r="BD174" s="354"/>
      <c r="BE174" s="354"/>
      <c r="BF174" s="354"/>
      <c r="BG174" s="354"/>
      <c r="BH174" s="354"/>
      <c r="BI174" s="354"/>
      <c r="BJ174" s="354"/>
      <c r="BK174" s="354"/>
      <c r="BL174" s="354"/>
      <c r="BM174" s="352"/>
      <c r="BN174" s="352"/>
      <c r="BO174" s="354"/>
      <c r="BP174" s="354"/>
      <c r="BQ174" s="354"/>
      <c r="BR174" s="354"/>
      <c r="BS174" s="354"/>
      <c r="BT174" s="354"/>
      <c r="BU174" s="354"/>
      <c r="BV174" s="354"/>
      <c r="BW174" s="354"/>
      <c r="BX174" s="354"/>
      <c r="BY174" s="354"/>
      <c r="BZ174" s="354"/>
      <c r="CA174" s="354"/>
    </row>
    <row r="175" spans="1:79" s="364" customFormat="1" x14ac:dyDescent="0.3">
      <c r="A175" s="352"/>
      <c r="B175" s="352"/>
      <c r="C175" s="354"/>
      <c r="D175" s="354"/>
      <c r="E175" s="354"/>
      <c r="F175" s="354"/>
      <c r="G175" s="354"/>
      <c r="H175" s="354"/>
      <c r="I175" s="354"/>
      <c r="J175" s="354"/>
      <c r="K175" s="354"/>
      <c r="L175" s="354"/>
      <c r="M175" s="354"/>
      <c r="N175" s="354"/>
      <c r="O175" s="354"/>
      <c r="P175" s="354"/>
      <c r="Q175" s="352"/>
      <c r="R175" s="352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2"/>
      <c r="AH175" s="352"/>
      <c r="AI175" s="354"/>
      <c r="AJ175" s="354"/>
      <c r="AK175" s="354"/>
      <c r="AL175" s="354"/>
      <c r="AM175" s="354"/>
      <c r="AN175" s="354"/>
      <c r="AO175" s="354"/>
      <c r="AP175" s="354"/>
      <c r="AQ175" s="354"/>
      <c r="AR175" s="354"/>
      <c r="AS175" s="354"/>
      <c r="AT175" s="354"/>
      <c r="AU175" s="354"/>
      <c r="AV175" s="354"/>
      <c r="AW175" s="352"/>
      <c r="AX175" s="352"/>
      <c r="AY175" s="354"/>
      <c r="AZ175" s="354"/>
      <c r="BA175" s="354"/>
      <c r="BB175" s="354"/>
      <c r="BC175" s="354"/>
      <c r="BD175" s="354"/>
      <c r="BE175" s="354"/>
      <c r="BF175" s="354"/>
      <c r="BG175" s="354"/>
      <c r="BH175" s="354"/>
      <c r="BI175" s="354"/>
      <c r="BJ175" s="354"/>
      <c r="BK175" s="354"/>
      <c r="BL175" s="354"/>
      <c r="BM175" s="352"/>
      <c r="BN175" s="352"/>
      <c r="BO175" s="354"/>
      <c r="BP175" s="354"/>
      <c r="BQ175" s="354"/>
      <c r="BR175" s="354"/>
      <c r="BS175" s="354"/>
      <c r="BT175" s="354"/>
      <c r="BU175" s="354"/>
      <c r="BV175" s="354"/>
      <c r="BW175" s="354"/>
      <c r="BX175" s="354"/>
      <c r="BY175" s="354"/>
      <c r="BZ175" s="354"/>
      <c r="CA175" s="354"/>
    </row>
    <row r="176" spans="1:79" s="364" customFormat="1" x14ac:dyDescent="0.3">
      <c r="A176" s="352"/>
      <c r="B176" s="352"/>
      <c r="C176" s="354"/>
      <c r="D176" s="354"/>
      <c r="E176" s="354"/>
      <c r="F176" s="354"/>
      <c r="G176" s="354"/>
      <c r="H176" s="354"/>
      <c r="I176" s="354"/>
      <c r="J176" s="354"/>
      <c r="K176" s="354"/>
      <c r="L176" s="354"/>
      <c r="M176" s="354"/>
      <c r="N176" s="354"/>
      <c r="O176" s="354"/>
      <c r="P176" s="354"/>
      <c r="Q176" s="352"/>
      <c r="R176" s="352"/>
      <c r="S176" s="354"/>
      <c r="T176" s="354"/>
      <c r="U176" s="354"/>
      <c r="V176" s="354"/>
      <c r="W176" s="354"/>
      <c r="X176" s="354"/>
      <c r="Y176" s="354"/>
      <c r="Z176" s="354"/>
      <c r="AA176" s="354"/>
      <c r="AB176" s="354"/>
      <c r="AC176" s="354"/>
      <c r="AD176" s="354"/>
      <c r="AE176" s="354"/>
      <c r="AF176" s="354"/>
      <c r="AG176" s="352"/>
      <c r="AH176" s="352"/>
      <c r="AI176" s="354"/>
      <c r="AJ176" s="354"/>
      <c r="AK176" s="354"/>
      <c r="AL176" s="354"/>
      <c r="AM176" s="354"/>
      <c r="AN176" s="354"/>
      <c r="AO176" s="354"/>
      <c r="AP176" s="354"/>
      <c r="AQ176" s="354"/>
      <c r="AR176" s="354"/>
      <c r="AS176" s="354"/>
      <c r="AT176" s="354"/>
      <c r="AU176" s="354"/>
      <c r="AV176" s="354"/>
      <c r="AW176" s="352"/>
      <c r="AX176" s="352"/>
      <c r="AY176" s="354"/>
      <c r="AZ176" s="354"/>
      <c r="BA176" s="354"/>
      <c r="BB176" s="354"/>
      <c r="BC176" s="354"/>
      <c r="BD176" s="354"/>
      <c r="BE176" s="354"/>
      <c r="BF176" s="354"/>
      <c r="BG176" s="354"/>
      <c r="BH176" s="354"/>
      <c r="BI176" s="354"/>
      <c r="BJ176" s="354"/>
      <c r="BK176" s="354"/>
      <c r="BL176" s="354"/>
      <c r="BM176" s="352"/>
      <c r="BN176" s="352"/>
      <c r="BO176" s="354"/>
      <c r="BP176" s="354"/>
      <c r="BQ176" s="354"/>
      <c r="BR176" s="354"/>
      <c r="BS176" s="354"/>
      <c r="BT176" s="354"/>
      <c r="BU176" s="354"/>
      <c r="BV176" s="354"/>
      <c r="BW176" s="354"/>
      <c r="BX176" s="354"/>
      <c r="BY176" s="354"/>
      <c r="BZ176" s="354"/>
      <c r="CA176" s="354"/>
    </row>
    <row r="179" spans="1:79" s="391" customFormat="1" x14ac:dyDescent="0.3">
      <c r="A179" s="352"/>
      <c r="B179" s="352"/>
      <c r="C179" s="354"/>
      <c r="D179" s="354"/>
      <c r="E179" s="354"/>
      <c r="F179" s="354"/>
      <c r="G179" s="354"/>
      <c r="H179" s="354"/>
      <c r="I179" s="354"/>
      <c r="J179" s="354"/>
      <c r="K179" s="354"/>
      <c r="L179" s="354"/>
      <c r="M179" s="354"/>
      <c r="N179" s="354"/>
      <c r="O179" s="354"/>
      <c r="P179" s="354"/>
      <c r="Q179" s="352"/>
      <c r="R179" s="352"/>
      <c r="S179" s="354"/>
      <c r="T179" s="354"/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2"/>
      <c r="AH179" s="352"/>
      <c r="AI179" s="354"/>
      <c r="AJ179" s="354"/>
      <c r="AK179" s="354"/>
      <c r="AL179" s="354"/>
      <c r="AM179" s="354"/>
      <c r="AN179" s="354"/>
      <c r="AO179" s="354"/>
      <c r="AP179" s="354"/>
      <c r="AQ179" s="354"/>
      <c r="AR179" s="354"/>
      <c r="AS179" s="354"/>
      <c r="AT179" s="354"/>
      <c r="AU179" s="354"/>
      <c r="AV179" s="354"/>
      <c r="AW179" s="352"/>
      <c r="AX179" s="352"/>
      <c r="AY179" s="354"/>
      <c r="AZ179" s="354"/>
      <c r="BA179" s="354"/>
      <c r="BB179" s="354"/>
      <c r="BC179" s="354"/>
      <c r="BD179" s="354"/>
      <c r="BE179" s="354"/>
      <c r="BF179" s="354"/>
      <c r="BG179" s="354"/>
      <c r="BH179" s="354"/>
      <c r="BI179" s="354"/>
      <c r="BJ179" s="354"/>
      <c r="BK179" s="354"/>
      <c r="BL179" s="354"/>
      <c r="BM179" s="352"/>
      <c r="BN179" s="352"/>
      <c r="BO179" s="354"/>
      <c r="BP179" s="354"/>
      <c r="BQ179" s="354"/>
      <c r="BR179" s="354"/>
      <c r="BS179" s="354"/>
      <c r="BT179" s="354"/>
      <c r="BU179" s="354"/>
      <c r="BV179" s="354"/>
      <c r="BW179" s="354"/>
      <c r="BX179" s="354"/>
      <c r="BY179" s="354"/>
      <c r="BZ179" s="354"/>
      <c r="CA179" s="354"/>
    </row>
    <row r="183" spans="1:79" ht="18" customHeight="1" x14ac:dyDescent="0.3"/>
    <row r="184" spans="1:79" ht="20.25" customHeight="1" x14ac:dyDescent="0.3"/>
    <row r="185" spans="1:79" s="364" customFormat="1" ht="20.25" customHeight="1" x14ac:dyDescent="0.3">
      <c r="A185" s="352"/>
      <c r="B185" s="352"/>
      <c r="C185" s="354"/>
      <c r="D185" s="354"/>
      <c r="E185" s="354"/>
      <c r="F185" s="354"/>
      <c r="G185" s="354"/>
      <c r="H185" s="354"/>
      <c r="I185" s="354"/>
      <c r="J185" s="354"/>
      <c r="K185" s="354"/>
      <c r="L185" s="354"/>
      <c r="M185" s="354"/>
      <c r="N185" s="354"/>
      <c r="O185" s="354"/>
      <c r="P185" s="354"/>
      <c r="Q185" s="352"/>
      <c r="R185" s="352"/>
      <c r="S185" s="354"/>
      <c r="T185" s="354"/>
      <c r="U185" s="354"/>
      <c r="V185" s="354"/>
      <c r="W185" s="354"/>
      <c r="X185" s="354"/>
      <c r="Y185" s="354"/>
      <c r="Z185" s="354"/>
      <c r="AA185" s="354"/>
      <c r="AB185" s="354"/>
      <c r="AC185" s="354"/>
      <c r="AD185" s="354"/>
      <c r="AE185" s="354"/>
      <c r="AF185" s="354"/>
      <c r="AG185" s="352"/>
      <c r="AH185" s="352"/>
      <c r="AI185" s="354"/>
      <c r="AJ185" s="354"/>
      <c r="AK185" s="354"/>
      <c r="AL185" s="354"/>
      <c r="AM185" s="354"/>
      <c r="AN185" s="354"/>
      <c r="AO185" s="354"/>
      <c r="AP185" s="354"/>
      <c r="AQ185" s="354"/>
      <c r="AR185" s="354"/>
      <c r="AS185" s="354"/>
      <c r="AT185" s="354"/>
      <c r="AU185" s="354"/>
      <c r="AV185" s="354"/>
      <c r="AW185" s="352"/>
      <c r="AX185" s="352"/>
      <c r="AY185" s="354"/>
      <c r="AZ185" s="354"/>
      <c r="BA185" s="354"/>
      <c r="BB185" s="354"/>
      <c r="BC185" s="354"/>
      <c r="BD185" s="354"/>
      <c r="BE185" s="354"/>
      <c r="BF185" s="354"/>
      <c r="BG185" s="354"/>
      <c r="BH185" s="354"/>
      <c r="BI185" s="354"/>
      <c r="BJ185" s="354"/>
      <c r="BK185" s="354"/>
      <c r="BL185" s="354"/>
      <c r="BM185" s="352"/>
      <c r="BN185" s="352"/>
      <c r="BO185" s="354"/>
      <c r="BP185" s="354"/>
      <c r="BQ185" s="354"/>
      <c r="BR185" s="354"/>
      <c r="BS185" s="354"/>
      <c r="BT185" s="354"/>
      <c r="BU185" s="354"/>
      <c r="BV185" s="354"/>
      <c r="BW185" s="354"/>
      <c r="BX185" s="354"/>
      <c r="BY185" s="354"/>
      <c r="BZ185" s="354"/>
      <c r="CA185" s="354"/>
    </row>
    <row r="186" spans="1:79" s="364" customFormat="1" x14ac:dyDescent="0.3">
      <c r="A186" s="352"/>
      <c r="B186" s="352"/>
      <c r="C186" s="354"/>
      <c r="D186" s="354"/>
      <c r="E186" s="354"/>
      <c r="F186" s="354"/>
      <c r="G186" s="354"/>
      <c r="H186" s="354"/>
      <c r="I186" s="354"/>
      <c r="J186" s="354"/>
      <c r="K186" s="354"/>
      <c r="L186" s="354"/>
      <c r="M186" s="354"/>
      <c r="N186" s="354"/>
      <c r="O186" s="354"/>
      <c r="P186" s="354"/>
      <c r="Q186" s="352"/>
      <c r="R186" s="352"/>
      <c r="S186" s="354"/>
      <c r="T186" s="354"/>
      <c r="U186" s="354"/>
      <c r="V186" s="354"/>
      <c r="W186" s="354"/>
      <c r="X186" s="354"/>
      <c r="Y186" s="354"/>
      <c r="Z186" s="354"/>
      <c r="AA186" s="354"/>
      <c r="AB186" s="354"/>
      <c r="AC186" s="354"/>
      <c r="AD186" s="354"/>
      <c r="AE186" s="354"/>
      <c r="AF186" s="354"/>
      <c r="AG186" s="352"/>
      <c r="AH186" s="352"/>
      <c r="AI186" s="354"/>
      <c r="AJ186" s="354"/>
      <c r="AK186" s="354"/>
      <c r="AL186" s="354"/>
      <c r="AM186" s="354"/>
      <c r="AN186" s="354"/>
      <c r="AO186" s="354"/>
      <c r="AP186" s="354"/>
      <c r="AQ186" s="354"/>
      <c r="AR186" s="354"/>
      <c r="AS186" s="354"/>
      <c r="AT186" s="354"/>
      <c r="AU186" s="354"/>
      <c r="AV186" s="354"/>
      <c r="AW186" s="352"/>
      <c r="AX186" s="352"/>
      <c r="AY186" s="354"/>
      <c r="AZ186" s="354"/>
      <c r="BA186" s="354"/>
      <c r="BB186" s="354"/>
      <c r="BC186" s="354"/>
      <c r="BD186" s="354"/>
      <c r="BE186" s="354"/>
      <c r="BF186" s="354"/>
      <c r="BG186" s="354"/>
      <c r="BH186" s="354"/>
      <c r="BI186" s="354"/>
      <c r="BJ186" s="354"/>
      <c r="BK186" s="354"/>
      <c r="BL186" s="354"/>
      <c r="BM186" s="352"/>
      <c r="BN186" s="352"/>
      <c r="BO186" s="354"/>
      <c r="BP186" s="354"/>
      <c r="BQ186" s="354"/>
      <c r="BR186" s="354"/>
      <c r="BS186" s="354"/>
      <c r="BT186" s="354"/>
      <c r="BU186" s="354"/>
      <c r="BV186" s="354"/>
      <c r="BW186" s="354"/>
      <c r="BX186" s="354"/>
      <c r="BY186" s="354"/>
      <c r="BZ186" s="354"/>
      <c r="CA186" s="354"/>
    </row>
    <row r="187" spans="1:79" s="364" customFormat="1" x14ac:dyDescent="0.3">
      <c r="A187" s="352"/>
      <c r="B187" s="352"/>
      <c r="C187" s="354"/>
      <c r="D187" s="354"/>
      <c r="E187" s="354"/>
      <c r="F187" s="354"/>
      <c r="G187" s="354"/>
      <c r="H187" s="354"/>
      <c r="I187" s="354"/>
      <c r="J187" s="354"/>
      <c r="K187" s="354"/>
      <c r="L187" s="354"/>
      <c r="M187" s="354"/>
      <c r="N187" s="354"/>
      <c r="O187" s="354"/>
      <c r="P187" s="354"/>
      <c r="Q187" s="352"/>
      <c r="R187" s="352"/>
      <c r="S187" s="354"/>
      <c r="T187" s="354"/>
      <c r="U187" s="354"/>
      <c r="V187" s="354"/>
      <c r="W187" s="354"/>
      <c r="X187" s="354"/>
      <c r="Y187" s="354"/>
      <c r="Z187" s="354"/>
      <c r="AA187" s="354"/>
      <c r="AB187" s="354"/>
      <c r="AC187" s="354"/>
      <c r="AD187" s="354"/>
      <c r="AE187" s="354"/>
      <c r="AF187" s="354"/>
      <c r="AG187" s="352"/>
      <c r="AH187" s="352"/>
      <c r="AI187" s="354"/>
      <c r="AJ187" s="354"/>
      <c r="AK187" s="354"/>
      <c r="AL187" s="354"/>
      <c r="AM187" s="354"/>
      <c r="AN187" s="354"/>
      <c r="AO187" s="354"/>
      <c r="AP187" s="354"/>
      <c r="AQ187" s="354"/>
      <c r="AR187" s="354"/>
      <c r="AS187" s="354"/>
      <c r="AT187" s="354"/>
      <c r="AU187" s="354"/>
      <c r="AV187" s="354"/>
      <c r="AW187" s="352"/>
      <c r="AX187" s="352"/>
      <c r="AY187" s="354"/>
      <c r="AZ187" s="354"/>
      <c r="BA187" s="354"/>
      <c r="BB187" s="354"/>
      <c r="BC187" s="354"/>
      <c r="BD187" s="354"/>
      <c r="BE187" s="354"/>
      <c r="BF187" s="354"/>
      <c r="BG187" s="354"/>
      <c r="BH187" s="354"/>
      <c r="BI187" s="354"/>
      <c r="BJ187" s="354"/>
      <c r="BK187" s="354"/>
      <c r="BL187" s="354"/>
      <c r="BM187" s="352"/>
      <c r="BN187" s="352"/>
      <c r="BO187" s="354"/>
      <c r="BP187" s="354"/>
      <c r="BQ187" s="354"/>
      <c r="BR187" s="354"/>
      <c r="BS187" s="354"/>
      <c r="BT187" s="354"/>
      <c r="BU187" s="354"/>
      <c r="BV187" s="354"/>
      <c r="BW187" s="354"/>
      <c r="BX187" s="354"/>
      <c r="BY187" s="354"/>
      <c r="BZ187" s="354"/>
      <c r="CA187" s="354"/>
    </row>
    <row r="188" spans="1:79" s="364" customFormat="1" x14ac:dyDescent="0.3">
      <c r="A188" s="352"/>
      <c r="B188" s="352"/>
      <c r="C188" s="354"/>
      <c r="D188" s="354"/>
      <c r="E188" s="354"/>
      <c r="F188" s="354"/>
      <c r="G188" s="354"/>
      <c r="H188" s="354"/>
      <c r="I188" s="354"/>
      <c r="J188" s="354"/>
      <c r="K188" s="354"/>
      <c r="L188" s="354"/>
      <c r="M188" s="354"/>
      <c r="N188" s="354"/>
      <c r="O188" s="354"/>
      <c r="P188" s="354"/>
      <c r="Q188" s="352"/>
      <c r="R188" s="352"/>
      <c r="S188" s="354"/>
      <c r="T188" s="354"/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2"/>
      <c r="AH188" s="352"/>
      <c r="AI188" s="354"/>
      <c r="AJ188" s="354"/>
      <c r="AK188" s="354"/>
      <c r="AL188" s="354"/>
      <c r="AM188" s="354"/>
      <c r="AN188" s="354"/>
      <c r="AO188" s="354"/>
      <c r="AP188" s="354"/>
      <c r="AQ188" s="354"/>
      <c r="AR188" s="354"/>
      <c r="AS188" s="354"/>
      <c r="AT188" s="354"/>
      <c r="AU188" s="354"/>
      <c r="AV188" s="354"/>
      <c r="AW188" s="352"/>
      <c r="AX188" s="352"/>
      <c r="AY188" s="354"/>
      <c r="AZ188" s="354"/>
      <c r="BA188" s="354"/>
      <c r="BB188" s="354"/>
      <c r="BC188" s="354"/>
      <c r="BD188" s="354"/>
      <c r="BE188" s="354"/>
      <c r="BF188" s="354"/>
      <c r="BG188" s="354"/>
      <c r="BH188" s="354"/>
      <c r="BI188" s="354"/>
      <c r="BJ188" s="354"/>
      <c r="BK188" s="354"/>
      <c r="BL188" s="354"/>
      <c r="BM188" s="352"/>
      <c r="BN188" s="352"/>
      <c r="BO188" s="354"/>
      <c r="BP188" s="354"/>
      <c r="BQ188" s="354"/>
      <c r="BR188" s="354"/>
      <c r="BS188" s="354"/>
      <c r="BT188" s="354"/>
      <c r="BU188" s="354"/>
      <c r="BV188" s="354"/>
      <c r="BW188" s="354"/>
      <c r="BX188" s="354"/>
      <c r="BY188" s="354"/>
      <c r="BZ188" s="354"/>
      <c r="CA188" s="354"/>
    </row>
    <row r="191" spans="1:79" s="391" customFormat="1" ht="20.25" customHeight="1" x14ac:dyDescent="0.3">
      <c r="A191" s="352"/>
      <c r="B191" s="352"/>
      <c r="C191" s="354"/>
      <c r="D191" s="354"/>
      <c r="E191" s="354"/>
      <c r="F191" s="354"/>
      <c r="G191" s="354"/>
      <c r="H191" s="354"/>
      <c r="I191" s="354"/>
      <c r="J191" s="354"/>
      <c r="K191" s="354"/>
      <c r="L191" s="354"/>
      <c r="M191" s="354"/>
      <c r="N191" s="354"/>
      <c r="O191" s="354"/>
      <c r="P191" s="354"/>
      <c r="Q191" s="352"/>
      <c r="R191" s="352"/>
      <c r="S191" s="354"/>
      <c r="T191" s="354"/>
      <c r="U191" s="354"/>
      <c r="V191" s="354"/>
      <c r="W191" s="354"/>
      <c r="X191" s="354"/>
      <c r="Y191" s="354"/>
      <c r="Z191" s="354"/>
      <c r="AA191" s="354"/>
      <c r="AB191" s="354"/>
      <c r="AC191" s="354"/>
      <c r="AD191" s="354"/>
      <c r="AE191" s="354"/>
      <c r="AF191" s="354"/>
      <c r="AG191" s="352"/>
      <c r="AH191" s="352"/>
      <c r="AI191" s="354"/>
      <c r="AJ191" s="354"/>
      <c r="AK191" s="354"/>
      <c r="AL191" s="354"/>
      <c r="AM191" s="354"/>
      <c r="AN191" s="354"/>
      <c r="AO191" s="354"/>
      <c r="AP191" s="354"/>
      <c r="AQ191" s="354"/>
      <c r="AR191" s="354"/>
      <c r="AS191" s="354"/>
      <c r="AT191" s="354"/>
      <c r="AU191" s="354"/>
      <c r="AV191" s="354"/>
      <c r="AW191" s="352"/>
      <c r="AX191" s="352"/>
      <c r="AY191" s="354"/>
      <c r="AZ191" s="354"/>
      <c r="BA191" s="354"/>
      <c r="BB191" s="354"/>
      <c r="BC191" s="354"/>
      <c r="BD191" s="354"/>
      <c r="BE191" s="354"/>
      <c r="BF191" s="354"/>
      <c r="BG191" s="354"/>
      <c r="BH191" s="354"/>
      <c r="BI191" s="354"/>
      <c r="BJ191" s="354"/>
      <c r="BK191" s="354"/>
      <c r="BL191" s="354"/>
      <c r="BM191" s="352"/>
      <c r="BN191" s="352"/>
      <c r="BO191" s="354"/>
      <c r="BP191" s="354"/>
      <c r="BQ191" s="354"/>
      <c r="BR191" s="354"/>
      <c r="BS191" s="354"/>
      <c r="BT191" s="354"/>
      <c r="BU191" s="354"/>
      <c r="BV191" s="354"/>
      <c r="BW191" s="354"/>
      <c r="BX191" s="354"/>
      <c r="BY191" s="354"/>
      <c r="BZ191" s="354"/>
      <c r="CA191" s="354"/>
    </row>
    <row r="192" spans="1:79" ht="16.5" customHeight="1" x14ac:dyDescent="0.3"/>
    <row r="193" spans="1:79" ht="25.5" customHeight="1" x14ac:dyDescent="0.3"/>
    <row r="194" spans="1:79" ht="29.25" customHeight="1" x14ac:dyDescent="0.3"/>
    <row r="195" spans="1:79" ht="60" customHeight="1" x14ac:dyDescent="0.3"/>
    <row r="196" spans="1:79" ht="20.25" customHeight="1" x14ac:dyDescent="0.3"/>
    <row r="197" spans="1:79" s="364" customFormat="1" ht="20.25" customHeight="1" x14ac:dyDescent="0.3">
      <c r="A197" s="352"/>
      <c r="B197" s="352"/>
      <c r="C197" s="354"/>
      <c r="D197" s="354"/>
      <c r="E197" s="354"/>
      <c r="F197" s="354"/>
      <c r="G197" s="354"/>
      <c r="H197" s="354"/>
      <c r="I197" s="354"/>
      <c r="J197" s="354"/>
      <c r="K197" s="354"/>
      <c r="L197" s="354"/>
      <c r="M197" s="354"/>
      <c r="N197" s="354"/>
      <c r="O197" s="354"/>
      <c r="P197" s="354"/>
      <c r="Q197" s="352"/>
      <c r="R197" s="352"/>
      <c r="S197" s="354"/>
      <c r="T197" s="354"/>
      <c r="U197" s="354"/>
      <c r="V197" s="354"/>
      <c r="W197" s="354"/>
      <c r="X197" s="354"/>
      <c r="Y197" s="354"/>
      <c r="Z197" s="354"/>
      <c r="AA197" s="354"/>
      <c r="AB197" s="354"/>
      <c r="AC197" s="354"/>
      <c r="AD197" s="354"/>
      <c r="AE197" s="354"/>
      <c r="AF197" s="354"/>
      <c r="AG197" s="352"/>
      <c r="AH197" s="352"/>
      <c r="AI197" s="354"/>
      <c r="AJ197" s="354"/>
      <c r="AK197" s="354"/>
      <c r="AL197" s="354"/>
      <c r="AM197" s="354"/>
      <c r="AN197" s="354"/>
      <c r="AO197" s="354"/>
      <c r="AP197" s="354"/>
      <c r="AQ197" s="354"/>
      <c r="AR197" s="354"/>
      <c r="AS197" s="354"/>
      <c r="AT197" s="354"/>
      <c r="AU197" s="354"/>
      <c r="AV197" s="354"/>
      <c r="AW197" s="352"/>
      <c r="AX197" s="352"/>
      <c r="AY197" s="354"/>
      <c r="AZ197" s="354"/>
      <c r="BA197" s="354"/>
      <c r="BB197" s="354"/>
      <c r="BC197" s="354"/>
      <c r="BD197" s="354"/>
      <c r="BE197" s="354"/>
      <c r="BF197" s="354"/>
      <c r="BG197" s="354"/>
      <c r="BH197" s="354"/>
      <c r="BI197" s="354"/>
      <c r="BJ197" s="354"/>
      <c r="BK197" s="354"/>
      <c r="BL197" s="354"/>
      <c r="BM197" s="352"/>
      <c r="BN197" s="352"/>
      <c r="BO197" s="354"/>
      <c r="BP197" s="354"/>
      <c r="BQ197" s="354"/>
      <c r="BR197" s="354"/>
      <c r="BS197" s="354"/>
      <c r="BT197" s="354"/>
      <c r="BU197" s="354"/>
      <c r="BV197" s="354"/>
      <c r="BW197" s="354"/>
      <c r="BX197" s="354"/>
      <c r="BY197" s="354"/>
      <c r="BZ197" s="354"/>
      <c r="CA197" s="354"/>
    </row>
    <row r="198" spans="1:79" s="364" customFormat="1" x14ac:dyDescent="0.3">
      <c r="A198" s="352"/>
      <c r="B198" s="352"/>
      <c r="C198" s="354"/>
      <c r="D198" s="354"/>
      <c r="E198" s="354"/>
      <c r="F198" s="354"/>
      <c r="G198" s="354"/>
      <c r="H198" s="354"/>
      <c r="I198" s="354"/>
      <c r="J198" s="354"/>
      <c r="K198" s="354"/>
      <c r="L198" s="354"/>
      <c r="M198" s="354"/>
      <c r="N198" s="354"/>
      <c r="O198" s="354"/>
      <c r="P198" s="354"/>
      <c r="Q198" s="352"/>
      <c r="R198" s="352"/>
      <c r="S198" s="354"/>
      <c r="T198" s="354"/>
      <c r="U198" s="354"/>
      <c r="V198" s="354"/>
      <c r="W198" s="354"/>
      <c r="X198" s="354"/>
      <c r="Y198" s="354"/>
      <c r="Z198" s="354"/>
      <c r="AA198" s="354"/>
      <c r="AB198" s="354"/>
      <c r="AC198" s="354"/>
      <c r="AD198" s="354"/>
      <c r="AE198" s="354"/>
      <c r="AF198" s="354"/>
      <c r="AG198" s="352"/>
      <c r="AH198" s="352"/>
      <c r="AI198" s="354"/>
      <c r="AJ198" s="354"/>
      <c r="AK198" s="354"/>
      <c r="AL198" s="354"/>
      <c r="AM198" s="354"/>
      <c r="AN198" s="354"/>
      <c r="AO198" s="354"/>
      <c r="AP198" s="354"/>
      <c r="AQ198" s="354"/>
      <c r="AR198" s="354"/>
      <c r="AS198" s="354"/>
      <c r="AT198" s="354"/>
      <c r="AU198" s="354"/>
      <c r="AV198" s="354"/>
      <c r="AW198" s="352"/>
      <c r="AX198" s="352"/>
      <c r="AY198" s="354"/>
      <c r="AZ198" s="354"/>
      <c r="BA198" s="354"/>
      <c r="BB198" s="354"/>
      <c r="BC198" s="354"/>
      <c r="BD198" s="354"/>
      <c r="BE198" s="354"/>
      <c r="BF198" s="354"/>
      <c r="BG198" s="354"/>
      <c r="BH198" s="354"/>
      <c r="BI198" s="354"/>
      <c r="BJ198" s="354"/>
      <c r="BK198" s="354"/>
      <c r="BL198" s="354"/>
      <c r="BM198" s="352"/>
      <c r="BN198" s="352"/>
      <c r="BO198" s="354"/>
      <c r="BP198" s="354"/>
      <c r="BQ198" s="354"/>
      <c r="BR198" s="354"/>
      <c r="BS198" s="354"/>
      <c r="BT198" s="354"/>
      <c r="BU198" s="354"/>
      <c r="BV198" s="354"/>
      <c r="BW198" s="354"/>
      <c r="BX198" s="354"/>
      <c r="BY198" s="354"/>
      <c r="BZ198" s="354"/>
      <c r="CA198" s="354"/>
    </row>
    <row r="199" spans="1:79" s="364" customFormat="1" x14ac:dyDescent="0.3">
      <c r="A199" s="352"/>
      <c r="B199" s="352"/>
      <c r="C199" s="354"/>
      <c r="D199" s="354"/>
      <c r="E199" s="354"/>
      <c r="F199" s="354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2"/>
      <c r="R199" s="352"/>
      <c r="S199" s="354"/>
      <c r="T199" s="354"/>
      <c r="U199" s="354"/>
      <c r="V199" s="354"/>
      <c r="W199" s="354"/>
      <c r="X199" s="354"/>
      <c r="Y199" s="354"/>
      <c r="Z199" s="354"/>
      <c r="AA199" s="354"/>
      <c r="AB199" s="354"/>
      <c r="AC199" s="354"/>
      <c r="AD199" s="354"/>
      <c r="AE199" s="354"/>
      <c r="AF199" s="354"/>
      <c r="AG199" s="352"/>
      <c r="AH199" s="352"/>
      <c r="AI199" s="354"/>
      <c r="AJ199" s="354"/>
      <c r="AK199" s="354"/>
      <c r="AL199" s="354"/>
      <c r="AM199" s="354"/>
      <c r="AN199" s="354"/>
      <c r="AO199" s="354"/>
      <c r="AP199" s="354"/>
      <c r="AQ199" s="354"/>
      <c r="AR199" s="354"/>
      <c r="AS199" s="354"/>
      <c r="AT199" s="354"/>
      <c r="AU199" s="354"/>
      <c r="AV199" s="354"/>
      <c r="AW199" s="352"/>
      <c r="AX199" s="352"/>
      <c r="AY199" s="354"/>
      <c r="AZ199" s="354"/>
      <c r="BA199" s="354"/>
      <c r="BB199" s="354"/>
      <c r="BC199" s="354"/>
      <c r="BD199" s="354"/>
      <c r="BE199" s="354"/>
      <c r="BF199" s="354"/>
      <c r="BG199" s="354"/>
      <c r="BH199" s="354"/>
      <c r="BI199" s="354"/>
      <c r="BJ199" s="354"/>
      <c r="BK199" s="354"/>
      <c r="BL199" s="354"/>
      <c r="BM199" s="352"/>
      <c r="BN199" s="352"/>
      <c r="BO199" s="354"/>
      <c r="BP199" s="354"/>
      <c r="BQ199" s="354"/>
      <c r="BR199" s="354"/>
      <c r="BS199" s="354"/>
      <c r="BT199" s="354"/>
      <c r="BU199" s="354"/>
      <c r="BV199" s="354"/>
      <c r="BW199" s="354"/>
      <c r="BX199" s="354"/>
      <c r="BY199" s="354"/>
      <c r="BZ199" s="354"/>
      <c r="CA199" s="354"/>
    </row>
    <row r="200" spans="1:79" s="364" customFormat="1" x14ac:dyDescent="0.3">
      <c r="A200" s="352"/>
      <c r="B200" s="352"/>
      <c r="C200" s="354"/>
      <c r="D200" s="354"/>
      <c r="E200" s="354"/>
      <c r="F200" s="354"/>
      <c r="G200" s="354"/>
      <c r="H200" s="354"/>
      <c r="I200" s="354"/>
      <c r="J200" s="354"/>
      <c r="K200" s="354"/>
      <c r="L200" s="354"/>
      <c r="M200" s="354"/>
      <c r="N200" s="354"/>
      <c r="O200" s="354"/>
      <c r="P200" s="354"/>
      <c r="Q200" s="352"/>
      <c r="R200" s="352"/>
      <c r="S200" s="354"/>
      <c r="T200" s="354"/>
      <c r="U200" s="354"/>
      <c r="V200" s="354"/>
      <c r="W200" s="354"/>
      <c r="X200" s="354"/>
      <c r="Y200" s="354"/>
      <c r="Z200" s="354"/>
      <c r="AA200" s="354"/>
      <c r="AB200" s="354"/>
      <c r="AC200" s="354"/>
      <c r="AD200" s="354"/>
      <c r="AE200" s="354"/>
      <c r="AF200" s="354"/>
      <c r="AG200" s="352"/>
      <c r="AH200" s="352"/>
      <c r="AI200" s="354"/>
      <c r="AJ200" s="354"/>
      <c r="AK200" s="354"/>
      <c r="AL200" s="354"/>
      <c r="AM200" s="354"/>
      <c r="AN200" s="354"/>
      <c r="AO200" s="354"/>
      <c r="AP200" s="354"/>
      <c r="AQ200" s="354"/>
      <c r="AR200" s="354"/>
      <c r="AS200" s="354"/>
      <c r="AT200" s="354"/>
      <c r="AU200" s="354"/>
      <c r="AV200" s="354"/>
      <c r="AW200" s="352"/>
      <c r="AX200" s="352"/>
      <c r="AY200" s="354"/>
      <c r="AZ200" s="354"/>
      <c r="BA200" s="354"/>
      <c r="BB200" s="354"/>
      <c r="BC200" s="354"/>
      <c r="BD200" s="354"/>
      <c r="BE200" s="354"/>
      <c r="BF200" s="354"/>
      <c r="BG200" s="354"/>
      <c r="BH200" s="354"/>
      <c r="BI200" s="354"/>
      <c r="BJ200" s="354"/>
      <c r="BK200" s="354"/>
      <c r="BL200" s="354"/>
      <c r="BM200" s="352"/>
      <c r="BN200" s="352"/>
      <c r="BO200" s="354"/>
      <c r="BP200" s="354"/>
      <c r="BQ200" s="354"/>
      <c r="BR200" s="354"/>
      <c r="BS200" s="354"/>
      <c r="BT200" s="354"/>
      <c r="BU200" s="354"/>
      <c r="BV200" s="354"/>
      <c r="BW200" s="354"/>
      <c r="BX200" s="354"/>
      <c r="BY200" s="354"/>
      <c r="BZ200" s="354"/>
      <c r="CA200" s="354"/>
    </row>
    <row r="203" spans="1:79" s="391" customFormat="1" x14ac:dyDescent="0.3">
      <c r="A203" s="352"/>
      <c r="B203" s="352"/>
      <c r="C203" s="354"/>
      <c r="D203" s="354"/>
      <c r="E203" s="354"/>
      <c r="F203" s="354"/>
      <c r="G203" s="354"/>
      <c r="H203" s="354"/>
      <c r="I203" s="354"/>
      <c r="J203" s="354"/>
      <c r="K203" s="354"/>
      <c r="L203" s="354"/>
      <c r="M203" s="354"/>
      <c r="N203" s="354"/>
      <c r="O203" s="354"/>
      <c r="P203" s="354"/>
      <c r="Q203" s="352"/>
      <c r="R203" s="352"/>
      <c r="S203" s="354"/>
      <c r="T203" s="354"/>
      <c r="U203" s="354"/>
      <c r="V203" s="354"/>
      <c r="W203" s="354"/>
      <c r="X203" s="354"/>
      <c r="Y203" s="354"/>
      <c r="Z203" s="354"/>
      <c r="AA203" s="354"/>
      <c r="AB203" s="354"/>
      <c r="AC203" s="354"/>
      <c r="AD203" s="354"/>
      <c r="AE203" s="354"/>
      <c r="AF203" s="354"/>
      <c r="AG203" s="352"/>
      <c r="AH203" s="352"/>
      <c r="AI203" s="354"/>
      <c r="AJ203" s="354"/>
      <c r="AK203" s="354"/>
      <c r="AL203" s="354"/>
      <c r="AM203" s="354"/>
      <c r="AN203" s="354"/>
      <c r="AO203" s="354"/>
      <c r="AP203" s="354"/>
      <c r="AQ203" s="354"/>
      <c r="AR203" s="354"/>
      <c r="AS203" s="354"/>
      <c r="AT203" s="354"/>
      <c r="AU203" s="354"/>
      <c r="AV203" s="354"/>
      <c r="AW203" s="352"/>
      <c r="AX203" s="352"/>
      <c r="AY203" s="354"/>
      <c r="AZ203" s="354"/>
      <c r="BA203" s="354"/>
      <c r="BB203" s="354"/>
      <c r="BC203" s="354"/>
      <c r="BD203" s="354"/>
      <c r="BE203" s="354"/>
      <c r="BF203" s="354"/>
      <c r="BG203" s="354"/>
      <c r="BH203" s="354"/>
      <c r="BI203" s="354"/>
      <c r="BJ203" s="354"/>
      <c r="BK203" s="354"/>
      <c r="BL203" s="354"/>
      <c r="BM203" s="352"/>
      <c r="BN203" s="352"/>
      <c r="BO203" s="354"/>
      <c r="BP203" s="354"/>
      <c r="BQ203" s="354"/>
      <c r="BR203" s="354"/>
      <c r="BS203" s="354"/>
      <c r="BT203" s="354"/>
      <c r="BU203" s="354"/>
      <c r="BV203" s="354"/>
      <c r="BW203" s="354"/>
      <c r="BX203" s="354"/>
      <c r="BY203" s="354"/>
      <c r="BZ203" s="354"/>
      <c r="CA203" s="354"/>
    </row>
    <row r="205" spans="1:79" ht="28.5" customHeight="1" x14ac:dyDescent="0.3"/>
    <row r="206" spans="1:79" ht="30.75" customHeight="1" x14ac:dyDescent="0.3"/>
    <row r="207" spans="1:79" ht="54.9" customHeight="1" x14ac:dyDescent="0.3"/>
    <row r="208" spans="1:79" ht="20.25" customHeight="1" x14ac:dyDescent="0.3"/>
    <row r="209" spans="1:79" ht="20.25" customHeight="1" x14ac:dyDescent="0.3"/>
    <row r="210" spans="1:79" s="364" customFormat="1" x14ac:dyDescent="0.3">
      <c r="A210" s="352"/>
      <c r="B210" s="352"/>
      <c r="C210" s="354"/>
      <c r="D210" s="354"/>
      <c r="E210" s="354"/>
      <c r="F210" s="354"/>
      <c r="G210" s="354"/>
      <c r="H210" s="354"/>
      <c r="I210" s="354"/>
      <c r="J210" s="354"/>
      <c r="K210" s="354"/>
      <c r="L210" s="354"/>
      <c r="M210" s="354"/>
      <c r="N210" s="354"/>
      <c r="O210" s="354"/>
      <c r="P210" s="354"/>
      <c r="Q210" s="352"/>
      <c r="R210" s="352"/>
      <c r="S210" s="354"/>
      <c r="T210" s="354"/>
      <c r="U210" s="354"/>
      <c r="V210" s="354"/>
      <c r="W210" s="354"/>
      <c r="X210" s="354"/>
      <c r="Y210" s="354"/>
      <c r="Z210" s="354"/>
      <c r="AA210" s="354"/>
      <c r="AB210" s="354"/>
      <c r="AC210" s="354"/>
      <c r="AD210" s="354"/>
      <c r="AE210" s="354"/>
      <c r="AF210" s="354"/>
      <c r="AG210" s="352"/>
      <c r="AH210" s="352"/>
      <c r="AI210" s="354"/>
      <c r="AJ210" s="354"/>
      <c r="AK210" s="354"/>
      <c r="AL210" s="354"/>
      <c r="AM210" s="354"/>
      <c r="AN210" s="354"/>
      <c r="AO210" s="354"/>
      <c r="AP210" s="354"/>
      <c r="AQ210" s="354"/>
      <c r="AR210" s="354"/>
      <c r="AS210" s="354"/>
      <c r="AT210" s="354"/>
      <c r="AU210" s="354"/>
      <c r="AV210" s="354"/>
      <c r="AW210" s="352"/>
      <c r="AX210" s="352"/>
      <c r="AY210" s="354"/>
      <c r="AZ210" s="354"/>
      <c r="BA210" s="354"/>
      <c r="BB210" s="354"/>
      <c r="BC210" s="354"/>
      <c r="BD210" s="354"/>
      <c r="BE210" s="354"/>
      <c r="BF210" s="354"/>
      <c r="BG210" s="354"/>
      <c r="BH210" s="354"/>
      <c r="BI210" s="354"/>
      <c r="BJ210" s="354"/>
      <c r="BK210" s="354"/>
      <c r="BL210" s="354"/>
      <c r="BM210" s="352"/>
      <c r="BN210" s="352"/>
      <c r="BO210" s="354"/>
      <c r="BP210" s="354"/>
      <c r="BQ210" s="354"/>
      <c r="BR210" s="354"/>
      <c r="BS210" s="354"/>
      <c r="BT210" s="354"/>
      <c r="BU210" s="354"/>
      <c r="BV210" s="354"/>
      <c r="BW210" s="354"/>
      <c r="BX210" s="354"/>
      <c r="BY210" s="354"/>
      <c r="BZ210" s="354"/>
      <c r="CA210" s="354"/>
    </row>
    <row r="211" spans="1:79" s="364" customFormat="1" x14ac:dyDescent="0.3">
      <c r="A211" s="352"/>
      <c r="B211" s="352"/>
      <c r="C211" s="354"/>
      <c r="D211" s="354"/>
      <c r="E211" s="354"/>
      <c r="F211" s="354"/>
      <c r="G211" s="354"/>
      <c r="H211" s="354"/>
      <c r="I211" s="354"/>
      <c r="J211" s="354"/>
      <c r="K211" s="354"/>
      <c r="L211" s="354"/>
      <c r="M211" s="354"/>
      <c r="N211" s="354"/>
      <c r="O211" s="354"/>
      <c r="P211" s="354"/>
      <c r="Q211" s="352"/>
      <c r="R211" s="352"/>
      <c r="S211" s="354"/>
      <c r="T211" s="354"/>
      <c r="U211" s="354"/>
      <c r="V211" s="354"/>
      <c r="W211" s="354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2"/>
      <c r="AH211" s="352"/>
      <c r="AI211" s="354"/>
      <c r="AJ211" s="354"/>
      <c r="AK211" s="354"/>
      <c r="AL211" s="354"/>
      <c r="AM211" s="354"/>
      <c r="AN211" s="354"/>
      <c r="AO211" s="354"/>
      <c r="AP211" s="354"/>
      <c r="AQ211" s="354"/>
      <c r="AR211" s="354"/>
      <c r="AS211" s="354"/>
      <c r="AT211" s="354"/>
      <c r="AU211" s="354"/>
      <c r="AV211" s="354"/>
      <c r="AW211" s="352"/>
      <c r="AX211" s="352"/>
      <c r="AY211" s="354"/>
      <c r="AZ211" s="354"/>
      <c r="BA211" s="354"/>
      <c r="BB211" s="354"/>
      <c r="BC211" s="354"/>
      <c r="BD211" s="354"/>
      <c r="BE211" s="354"/>
      <c r="BF211" s="354"/>
      <c r="BG211" s="354"/>
      <c r="BH211" s="354"/>
      <c r="BI211" s="354"/>
      <c r="BJ211" s="354"/>
      <c r="BK211" s="354"/>
      <c r="BL211" s="354"/>
      <c r="BM211" s="352"/>
      <c r="BN211" s="352"/>
      <c r="BO211" s="354"/>
      <c r="BP211" s="354"/>
      <c r="BQ211" s="354"/>
      <c r="BR211" s="354"/>
      <c r="BS211" s="354"/>
      <c r="BT211" s="354"/>
      <c r="BU211" s="354"/>
      <c r="BV211" s="354"/>
      <c r="BW211" s="354"/>
      <c r="BX211" s="354"/>
      <c r="BY211" s="354"/>
      <c r="BZ211" s="354"/>
      <c r="CA211" s="354"/>
    </row>
    <row r="212" spans="1:79" s="364" customFormat="1" x14ac:dyDescent="0.3">
      <c r="A212" s="352"/>
      <c r="B212" s="352"/>
      <c r="C212" s="354"/>
      <c r="D212" s="354"/>
      <c r="E212" s="354"/>
      <c r="F212" s="354"/>
      <c r="G212" s="354"/>
      <c r="H212" s="354"/>
      <c r="I212" s="354"/>
      <c r="J212" s="354"/>
      <c r="K212" s="354"/>
      <c r="L212" s="354"/>
      <c r="M212" s="354"/>
      <c r="N212" s="354"/>
      <c r="O212" s="354"/>
      <c r="P212" s="354"/>
      <c r="Q212" s="352"/>
      <c r="R212" s="352"/>
      <c r="S212" s="354"/>
      <c r="T212" s="354"/>
      <c r="U212" s="354"/>
      <c r="V212" s="354"/>
      <c r="W212" s="354"/>
      <c r="X212" s="354"/>
      <c r="Y212" s="354"/>
      <c r="Z212" s="354"/>
      <c r="AA212" s="354"/>
      <c r="AB212" s="354"/>
      <c r="AC212" s="354"/>
      <c r="AD212" s="354"/>
      <c r="AE212" s="354"/>
      <c r="AF212" s="354"/>
      <c r="AG212" s="352"/>
      <c r="AH212" s="352"/>
      <c r="AI212" s="354"/>
      <c r="AJ212" s="354"/>
      <c r="AK212" s="354"/>
      <c r="AL212" s="354"/>
      <c r="AM212" s="354"/>
      <c r="AN212" s="354"/>
      <c r="AO212" s="354"/>
      <c r="AP212" s="354"/>
      <c r="AQ212" s="354"/>
      <c r="AR212" s="354"/>
      <c r="AS212" s="354"/>
      <c r="AT212" s="354"/>
      <c r="AU212" s="354"/>
      <c r="AV212" s="354"/>
      <c r="AW212" s="352"/>
      <c r="AX212" s="352"/>
      <c r="AY212" s="354"/>
      <c r="AZ212" s="354"/>
      <c r="BA212" s="354"/>
      <c r="BB212" s="354"/>
      <c r="BC212" s="354"/>
      <c r="BD212" s="354"/>
      <c r="BE212" s="354"/>
      <c r="BF212" s="354"/>
      <c r="BG212" s="354"/>
      <c r="BH212" s="354"/>
      <c r="BI212" s="354"/>
      <c r="BJ212" s="354"/>
      <c r="BK212" s="354"/>
      <c r="BL212" s="354"/>
      <c r="BM212" s="352"/>
      <c r="BN212" s="352"/>
      <c r="BO212" s="354"/>
      <c r="BP212" s="354"/>
      <c r="BQ212" s="354"/>
      <c r="BR212" s="354"/>
      <c r="BS212" s="354"/>
      <c r="BT212" s="354"/>
      <c r="BU212" s="354"/>
      <c r="BV212" s="354"/>
      <c r="BW212" s="354"/>
      <c r="BX212" s="354"/>
      <c r="BY212" s="354"/>
      <c r="BZ212" s="354"/>
      <c r="CA212" s="354"/>
    </row>
    <row r="215" spans="1:79" s="391" customFormat="1" x14ac:dyDescent="0.3">
      <c r="A215" s="352"/>
      <c r="B215" s="352"/>
      <c r="C215" s="354"/>
      <c r="D215" s="354"/>
      <c r="E215" s="354"/>
      <c r="F215" s="354"/>
      <c r="G215" s="354"/>
      <c r="H215" s="354"/>
      <c r="I215" s="354"/>
      <c r="J215" s="354"/>
      <c r="K215" s="354"/>
      <c r="L215" s="354"/>
      <c r="M215" s="354"/>
      <c r="N215" s="354"/>
      <c r="O215" s="354"/>
      <c r="P215" s="354"/>
      <c r="Q215" s="352"/>
      <c r="R215" s="352"/>
      <c r="S215" s="354"/>
      <c r="T215" s="354"/>
      <c r="U215" s="354"/>
      <c r="V215" s="354"/>
      <c r="W215" s="354"/>
      <c r="X215" s="354"/>
      <c r="Y215" s="354"/>
      <c r="Z215" s="354"/>
      <c r="AA215" s="354"/>
      <c r="AB215" s="354"/>
      <c r="AC215" s="354"/>
      <c r="AD215" s="354"/>
      <c r="AE215" s="354"/>
      <c r="AF215" s="354"/>
      <c r="AG215" s="352"/>
      <c r="AH215" s="352"/>
      <c r="AI215" s="354"/>
      <c r="AJ215" s="354"/>
      <c r="AK215" s="354"/>
      <c r="AL215" s="354"/>
      <c r="AM215" s="354"/>
      <c r="AN215" s="354"/>
      <c r="AO215" s="354"/>
      <c r="AP215" s="354"/>
      <c r="AQ215" s="354"/>
      <c r="AR215" s="354"/>
      <c r="AS215" s="354"/>
      <c r="AT215" s="354"/>
      <c r="AU215" s="354"/>
      <c r="AV215" s="354"/>
      <c r="AW215" s="352"/>
      <c r="AX215" s="352"/>
      <c r="AY215" s="354"/>
      <c r="AZ215" s="354"/>
      <c r="BA215" s="354"/>
      <c r="BB215" s="354"/>
      <c r="BC215" s="354"/>
      <c r="BD215" s="354"/>
      <c r="BE215" s="354"/>
      <c r="BF215" s="354"/>
      <c r="BG215" s="354"/>
      <c r="BH215" s="354"/>
      <c r="BI215" s="354"/>
      <c r="BJ215" s="354"/>
      <c r="BK215" s="354"/>
      <c r="BL215" s="354"/>
      <c r="BM215" s="352"/>
      <c r="BN215" s="352"/>
      <c r="BO215" s="354"/>
      <c r="BP215" s="354"/>
      <c r="BQ215" s="354"/>
      <c r="BR215" s="354"/>
      <c r="BS215" s="354"/>
      <c r="BT215" s="354"/>
      <c r="BU215" s="354"/>
      <c r="BV215" s="354"/>
      <c r="BW215" s="354"/>
      <c r="BX215" s="354"/>
      <c r="BY215" s="354"/>
      <c r="BZ215" s="354"/>
      <c r="CA215" s="354"/>
    </row>
    <row r="218" spans="1:79" ht="31.65" customHeight="1" x14ac:dyDescent="0.3"/>
    <row r="219" spans="1:79" ht="54.9" customHeight="1" x14ac:dyDescent="0.3"/>
    <row r="220" spans="1:79" ht="20.25" customHeight="1" x14ac:dyDescent="0.3"/>
    <row r="221" spans="1:79" ht="20.25" customHeight="1" x14ac:dyDescent="0.3"/>
    <row r="222" spans="1:79" s="364" customFormat="1" x14ac:dyDescent="0.3">
      <c r="A222" s="352"/>
      <c r="B222" s="352"/>
      <c r="C222" s="354"/>
      <c r="D222" s="354"/>
      <c r="E222" s="354"/>
      <c r="F222" s="354"/>
      <c r="G222" s="354"/>
      <c r="H222" s="354"/>
      <c r="I222" s="354"/>
      <c r="J222" s="354"/>
      <c r="K222" s="354"/>
      <c r="L222" s="354"/>
      <c r="M222" s="354"/>
      <c r="N222" s="354"/>
      <c r="O222" s="354"/>
      <c r="P222" s="354"/>
      <c r="Q222" s="352"/>
      <c r="R222" s="352"/>
      <c r="S222" s="354"/>
      <c r="T222" s="354"/>
      <c r="U222" s="354"/>
      <c r="V222" s="354"/>
      <c r="W222" s="354"/>
      <c r="X222" s="354"/>
      <c r="Y222" s="354"/>
      <c r="Z222" s="354"/>
      <c r="AA222" s="354"/>
      <c r="AB222" s="354"/>
      <c r="AC222" s="354"/>
      <c r="AD222" s="354"/>
      <c r="AE222" s="354"/>
      <c r="AF222" s="354"/>
      <c r="AG222" s="352"/>
      <c r="AH222" s="352"/>
      <c r="AI222" s="354"/>
      <c r="AJ222" s="354"/>
      <c r="AK222" s="354"/>
      <c r="AL222" s="354"/>
      <c r="AM222" s="354"/>
      <c r="AN222" s="354"/>
      <c r="AO222" s="354"/>
      <c r="AP222" s="354"/>
      <c r="AQ222" s="354"/>
      <c r="AR222" s="354"/>
      <c r="AS222" s="354"/>
      <c r="AT222" s="354"/>
      <c r="AU222" s="354"/>
      <c r="AV222" s="354"/>
      <c r="AW222" s="352"/>
      <c r="AX222" s="352"/>
      <c r="AY222" s="354"/>
      <c r="AZ222" s="354"/>
      <c r="BA222" s="354"/>
      <c r="BB222" s="354"/>
      <c r="BC222" s="354"/>
      <c r="BD222" s="354"/>
      <c r="BE222" s="354"/>
      <c r="BF222" s="354"/>
      <c r="BG222" s="354"/>
      <c r="BH222" s="354"/>
      <c r="BI222" s="354"/>
      <c r="BJ222" s="354"/>
      <c r="BK222" s="354"/>
      <c r="BL222" s="354"/>
      <c r="BM222" s="352"/>
      <c r="BN222" s="352"/>
      <c r="BO222" s="354"/>
      <c r="BP222" s="354"/>
      <c r="BQ222" s="354"/>
      <c r="BR222" s="354"/>
      <c r="BS222" s="354"/>
      <c r="BT222" s="354"/>
      <c r="BU222" s="354"/>
      <c r="BV222" s="354"/>
      <c r="BW222" s="354"/>
      <c r="BX222" s="354"/>
      <c r="BY222" s="354"/>
      <c r="BZ222" s="354"/>
      <c r="CA222" s="354"/>
    </row>
    <row r="224" spans="1:79" s="364" customFormat="1" x14ac:dyDescent="0.3">
      <c r="A224" s="352"/>
      <c r="B224" s="352"/>
      <c r="C224" s="354"/>
      <c r="D224" s="354"/>
      <c r="E224" s="354"/>
      <c r="F224" s="354"/>
      <c r="G224" s="354"/>
      <c r="H224" s="354"/>
      <c r="I224" s="354"/>
      <c r="J224" s="354"/>
      <c r="K224" s="354"/>
      <c r="L224" s="354"/>
      <c r="M224" s="354"/>
      <c r="N224" s="354"/>
      <c r="O224" s="354"/>
      <c r="P224" s="354"/>
      <c r="Q224" s="352"/>
      <c r="R224" s="352"/>
      <c r="S224" s="354"/>
      <c r="T224" s="354"/>
      <c r="U224" s="354"/>
      <c r="V224" s="354"/>
      <c r="W224" s="354"/>
      <c r="X224" s="354"/>
      <c r="Y224" s="354"/>
      <c r="Z224" s="354"/>
      <c r="AA224" s="354"/>
      <c r="AB224" s="354"/>
      <c r="AC224" s="354"/>
      <c r="AD224" s="354"/>
      <c r="AE224" s="354"/>
      <c r="AF224" s="354"/>
      <c r="AG224" s="352"/>
      <c r="AH224" s="352"/>
      <c r="AI224" s="354"/>
      <c r="AJ224" s="354"/>
      <c r="AK224" s="354"/>
      <c r="AL224" s="354"/>
      <c r="AM224" s="354"/>
      <c r="AN224" s="354"/>
      <c r="AO224" s="354"/>
      <c r="AP224" s="354"/>
      <c r="AQ224" s="354"/>
      <c r="AR224" s="354"/>
      <c r="AS224" s="354"/>
      <c r="AT224" s="354"/>
      <c r="AU224" s="354"/>
      <c r="AV224" s="354"/>
      <c r="AW224" s="352"/>
      <c r="AX224" s="352"/>
      <c r="AY224" s="354"/>
      <c r="AZ224" s="354"/>
      <c r="BA224" s="354"/>
      <c r="BB224" s="354"/>
      <c r="BC224" s="354"/>
      <c r="BD224" s="354"/>
      <c r="BE224" s="354"/>
      <c r="BF224" s="354"/>
      <c r="BG224" s="354"/>
      <c r="BH224" s="354"/>
      <c r="BI224" s="354"/>
      <c r="BJ224" s="354"/>
      <c r="BK224" s="354"/>
      <c r="BL224" s="354"/>
      <c r="BM224" s="352"/>
      <c r="BN224" s="352"/>
      <c r="BO224" s="354"/>
      <c r="BP224" s="354"/>
      <c r="BQ224" s="354"/>
      <c r="BR224" s="354"/>
      <c r="BS224" s="354"/>
      <c r="BT224" s="354"/>
      <c r="BU224" s="354"/>
      <c r="BV224" s="354"/>
      <c r="BW224" s="354"/>
      <c r="BX224" s="354"/>
      <c r="BY224" s="354"/>
      <c r="BZ224" s="354"/>
      <c r="CA224" s="354"/>
    </row>
    <row r="227" spans="1:79" s="391" customFormat="1" x14ac:dyDescent="0.3">
      <c r="A227" s="352"/>
      <c r="B227" s="352"/>
      <c r="C227" s="354"/>
      <c r="D227" s="354"/>
      <c r="E227" s="354"/>
      <c r="F227" s="354"/>
      <c r="G227" s="354"/>
      <c r="H227" s="354"/>
      <c r="I227" s="354"/>
      <c r="J227" s="354"/>
      <c r="K227" s="354"/>
      <c r="L227" s="354"/>
      <c r="M227" s="354"/>
      <c r="N227" s="354"/>
      <c r="O227" s="354"/>
      <c r="P227" s="354"/>
      <c r="Q227" s="352"/>
      <c r="R227" s="352"/>
      <c r="S227" s="354"/>
      <c r="T227" s="354"/>
      <c r="U227" s="354"/>
      <c r="V227" s="354"/>
      <c r="W227" s="354"/>
      <c r="X227" s="354"/>
      <c r="Y227" s="354"/>
      <c r="Z227" s="354"/>
      <c r="AA227" s="354"/>
      <c r="AB227" s="354"/>
      <c r="AC227" s="354"/>
      <c r="AD227" s="354"/>
      <c r="AE227" s="354"/>
      <c r="AF227" s="354"/>
      <c r="AG227" s="352"/>
      <c r="AH227" s="352"/>
      <c r="AI227" s="354"/>
      <c r="AJ227" s="354"/>
      <c r="AK227" s="354"/>
      <c r="AL227" s="354"/>
      <c r="AM227" s="354"/>
      <c r="AN227" s="354"/>
      <c r="AO227" s="354"/>
      <c r="AP227" s="354"/>
      <c r="AQ227" s="354"/>
      <c r="AR227" s="354"/>
      <c r="AS227" s="354"/>
      <c r="AT227" s="354"/>
      <c r="AU227" s="354"/>
      <c r="AV227" s="354"/>
      <c r="AW227" s="352"/>
      <c r="AX227" s="352"/>
      <c r="AY227" s="354"/>
      <c r="AZ227" s="354"/>
      <c r="BA227" s="354"/>
      <c r="BB227" s="354"/>
      <c r="BC227" s="354"/>
      <c r="BD227" s="354"/>
      <c r="BE227" s="354"/>
      <c r="BF227" s="354"/>
      <c r="BG227" s="354"/>
      <c r="BH227" s="354"/>
      <c r="BI227" s="354"/>
      <c r="BJ227" s="354"/>
      <c r="BK227" s="354"/>
      <c r="BL227" s="354"/>
      <c r="BM227" s="352"/>
      <c r="BN227" s="352"/>
      <c r="BO227" s="354"/>
      <c r="BP227" s="354"/>
      <c r="BQ227" s="354"/>
      <c r="BR227" s="354"/>
      <c r="BS227" s="354"/>
      <c r="BT227" s="354"/>
      <c r="BU227" s="354"/>
      <c r="BV227" s="354"/>
      <c r="BW227" s="354"/>
      <c r="BX227" s="354"/>
      <c r="BY227" s="354"/>
      <c r="BZ227" s="354"/>
      <c r="CA227" s="354"/>
    </row>
    <row r="231" spans="1:79" ht="54.9" customHeight="1" x14ac:dyDescent="0.3"/>
    <row r="232" spans="1:79" ht="20.25" customHeight="1" x14ac:dyDescent="0.3"/>
    <row r="233" spans="1:79" ht="20.25" customHeight="1" x14ac:dyDescent="0.3"/>
    <row r="234" spans="1:79" s="364" customFormat="1" x14ac:dyDescent="0.3">
      <c r="A234" s="352"/>
      <c r="B234" s="352"/>
      <c r="C234" s="354"/>
      <c r="D234" s="354"/>
      <c r="E234" s="354"/>
      <c r="F234" s="354"/>
      <c r="G234" s="354"/>
      <c r="H234" s="354"/>
      <c r="I234" s="354"/>
      <c r="J234" s="354"/>
      <c r="K234" s="354"/>
      <c r="L234" s="354"/>
      <c r="M234" s="354"/>
      <c r="N234" s="354"/>
      <c r="O234" s="354"/>
      <c r="P234" s="354"/>
      <c r="Q234" s="352"/>
      <c r="R234" s="352"/>
      <c r="S234" s="354"/>
      <c r="T234" s="354"/>
      <c r="U234" s="354"/>
      <c r="V234" s="354"/>
      <c r="W234" s="354"/>
      <c r="X234" s="354"/>
      <c r="Y234" s="354"/>
      <c r="Z234" s="354"/>
      <c r="AA234" s="354"/>
      <c r="AB234" s="354"/>
      <c r="AC234" s="354"/>
      <c r="AD234" s="354"/>
      <c r="AE234" s="354"/>
      <c r="AF234" s="354"/>
      <c r="AG234" s="352"/>
      <c r="AH234" s="352"/>
      <c r="AI234" s="354"/>
      <c r="AJ234" s="354"/>
      <c r="AK234" s="354"/>
      <c r="AL234" s="354"/>
      <c r="AM234" s="354"/>
      <c r="AN234" s="354"/>
      <c r="AO234" s="354"/>
      <c r="AP234" s="354"/>
      <c r="AQ234" s="354"/>
      <c r="AR234" s="354"/>
      <c r="AS234" s="354"/>
      <c r="AT234" s="354"/>
      <c r="AU234" s="354"/>
      <c r="AV234" s="354"/>
      <c r="AW234" s="352"/>
      <c r="AX234" s="352"/>
      <c r="AY234" s="354"/>
      <c r="AZ234" s="354"/>
      <c r="BA234" s="354"/>
      <c r="BB234" s="354"/>
      <c r="BC234" s="354"/>
      <c r="BD234" s="354"/>
      <c r="BE234" s="354"/>
      <c r="BF234" s="354"/>
      <c r="BG234" s="354"/>
      <c r="BH234" s="354"/>
      <c r="BI234" s="354"/>
      <c r="BJ234" s="354"/>
      <c r="BK234" s="354"/>
      <c r="BL234" s="354"/>
      <c r="BM234" s="352"/>
      <c r="BN234" s="352"/>
      <c r="BO234" s="354"/>
      <c r="BP234" s="354"/>
      <c r="BQ234" s="354"/>
      <c r="BR234" s="354"/>
      <c r="BS234" s="354"/>
      <c r="BT234" s="354"/>
      <c r="BU234" s="354"/>
      <c r="BV234" s="354"/>
      <c r="BW234" s="354"/>
      <c r="BX234" s="354"/>
      <c r="BY234" s="354"/>
      <c r="BZ234" s="354"/>
      <c r="CA234" s="354"/>
    </row>
    <row r="235" spans="1:79" s="364" customFormat="1" x14ac:dyDescent="0.3">
      <c r="A235" s="352"/>
      <c r="B235" s="352"/>
      <c r="C235" s="354"/>
      <c r="D235" s="354"/>
      <c r="E235" s="354"/>
      <c r="F235" s="354"/>
      <c r="G235" s="354"/>
      <c r="H235" s="354"/>
      <c r="I235" s="354"/>
      <c r="J235" s="354"/>
      <c r="K235" s="354"/>
      <c r="L235" s="354"/>
      <c r="M235" s="354"/>
      <c r="N235" s="354"/>
      <c r="O235" s="354"/>
      <c r="P235" s="354"/>
      <c r="Q235" s="352"/>
      <c r="R235" s="352"/>
      <c r="S235" s="354"/>
      <c r="T235" s="354"/>
      <c r="U235" s="354"/>
      <c r="V235" s="354"/>
      <c r="W235" s="354"/>
      <c r="X235" s="354"/>
      <c r="Y235" s="354"/>
      <c r="Z235" s="354"/>
      <c r="AA235" s="354"/>
      <c r="AB235" s="354"/>
      <c r="AC235" s="354"/>
      <c r="AD235" s="354"/>
      <c r="AE235" s="354"/>
      <c r="AF235" s="354"/>
      <c r="AG235" s="352"/>
      <c r="AH235" s="352"/>
      <c r="AI235" s="354"/>
      <c r="AJ235" s="354"/>
      <c r="AK235" s="354"/>
      <c r="AL235" s="354"/>
      <c r="AM235" s="354"/>
      <c r="AN235" s="354"/>
      <c r="AO235" s="354"/>
      <c r="AP235" s="354"/>
      <c r="AQ235" s="354"/>
      <c r="AR235" s="354"/>
      <c r="AS235" s="354"/>
      <c r="AT235" s="354"/>
      <c r="AU235" s="354"/>
      <c r="AV235" s="354"/>
      <c r="AW235" s="352"/>
      <c r="AX235" s="352"/>
      <c r="AY235" s="354"/>
      <c r="AZ235" s="354"/>
      <c r="BA235" s="354"/>
      <c r="BB235" s="354"/>
      <c r="BC235" s="354"/>
      <c r="BD235" s="354"/>
      <c r="BE235" s="354"/>
      <c r="BF235" s="354"/>
      <c r="BG235" s="354"/>
      <c r="BH235" s="354"/>
      <c r="BI235" s="354"/>
      <c r="BJ235" s="354"/>
      <c r="BK235" s="354"/>
      <c r="BL235" s="354"/>
      <c r="BM235" s="352"/>
      <c r="BN235" s="352"/>
      <c r="BO235" s="354"/>
      <c r="BP235" s="354"/>
      <c r="BQ235" s="354"/>
      <c r="BR235" s="354"/>
      <c r="BS235" s="354"/>
      <c r="BT235" s="354"/>
      <c r="BU235" s="354"/>
      <c r="BV235" s="354"/>
      <c r="BW235" s="354"/>
      <c r="BX235" s="354"/>
      <c r="BY235" s="354"/>
      <c r="BZ235" s="354"/>
      <c r="CA235" s="354"/>
    </row>
    <row r="236" spans="1:79" s="364" customFormat="1" x14ac:dyDescent="0.3">
      <c r="A236" s="352"/>
      <c r="B236" s="352"/>
      <c r="C236" s="354"/>
      <c r="D236" s="354"/>
      <c r="E236" s="354"/>
      <c r="F236" s="354"/>
      <c r="G236" s="354"/>
      <c r="H236" s="354"/>
      <c r="I236" s="354"/>
      <c r="J236" s="354"/>
      <c r="K236" s="354"/>
      <c r="L236" s="354"/>
      <c r="M236" s="354"/>
      <c r="N236" s="354"/>
      <c r="O236" s="354"/>
      <c r="P236" s="354"/>
      <c r="Q236" s="352"/>
      <c r="R236" s="352"/>
      <c r="S236" s="354"/>
      <c r="T236" s="354"/>
      <c r="U236" s="354"/>
      <c r="V236" s="354"/>
      <c r="W236" s="354"/>
      <c r="X236" s="354"/>
      <c r="Y236" s="354"/>
      <c r="Z236" s="354"/>
      <c r="AA236" s="354"/>
      <c r="AB236" s="354"/>
      <c r="AC236" s="354"/>
      <c r="AD236" s="354"/>
      <c r="AE236" s="354"/>
      <c r="AF236" s="354"/>
      <c r="AG236" s="352"/>
      <c r="AH236" s="352"/>
      <c r="AI236" s="354"/>
      <c r="AJ236" s="354"/>
      <c r="AK236" s="354"/>
      <c r="AL236" s="354"/>
      <c r="AM236" s="354"/>
      <c r="AN236" s="354"/>
      <c r="AO236" s="354"/>
      <c r="AP236" s="354"/>
      <c r="AQ236" s="354"/>
      <c r="AR236" s="354"/>
      <c r="AS236" s="354"/>
      <c r="AT236" s="354"/>
      <c r="AU236" s="354"/>
      <c r="AV236" s="354"/>
      <c r="AW236" s="352"/>
      <c r="AX236" s="352"/>
      <c r="AY236" s="354"/>
      <c r="AZ236" s="354"/>
      <c r="BA236" s="354"/>
      <c r="BB236" s="354"/>
      <c r="BC236" s="354"/>
      <c r="BD236" s="354"/>
      <c r="BE236" s="354"/>
      <c r="BF236" s="354"/>
      <c r="BG236" s="354"/>
      <c r="BH236" s="354"/>
      <c r="BI236" s="354"/>
      <c r="BJ236" s="354"/>
      <c r="BK236" s="354"/>
      <c r="BL236" s="354"/>
      <c r="BM236" s="352"/>
      <c r="BN236" s="352"/>
      <c r="BO236" s="354"/>
      <c r="BP236" s="354"/>
      <c r="BQ236" s="354"/>
      <c r="BR236" s="354"/>
      <c r="BS236" s="354"/>
      <c r="BT236" s="354"/>
      <c r="BU236" s="354"/>
      <c r="BV236" s="354"/>
      <c r="BW236" s="354"/>
      <c r="BX236" s="354"/>
      <c r="BY236" s="354"/>
      <c r="BZ236" s="354"/>
      <c r="CA236" s="354"/>
    </row>
    <row r="239" spans="1:79" s="391" customFormat="1" x14ac:dyDescent="0.3">
      <c r="A239" s="352"/>
      <c r="B239" s="352"/>
      <c r="C239" s="354"/>
      <c r="D239" s="354"/>
      <c r="E239" s="354"/>
      <c r="F239" s="354"/>
      <c r="G239" s="354"/>
      <c r="H239" s="354"/>
      <c r="I239" s="354"/>
      <c r="J239" s="354"/>
      <c r="K239" s="354"/>
      <c r="L239" s="354"/>
      <c r="M239" s="354"/>
      <c r="N239" s="354"/>
      <c r="O239" s="354"/>
      <c r="P239" s="354"/>
      <c r="Q239" s="352"/>
      <c r="R239" s="352"/>
      <c r="S239" s="354"/>
      <c r="T239" s="354"/>
      <c r="U239" s="354"/>
      <c r="V239" s="354"/>
      <c r="W239" s="354"/>
      <c r="X239" s="354"/>
      <c r="Y239" s="354"/>
      <c r="Z239" s="354"/>
      <c r="AA239" s="354"/>
      <c r="AB239" s="354"/>
      <c r="AC239" s="354"/>
      <c r="AD239" s="354"/>
      <c r="AE239" s="354"/>
      <c r="AF239" s="354"/>
      <c r="AG239" s="352"/>
      <c r="AH239" s="352"/>
      <c r="AI239" s="354"/>
      <c r="AJ239" s="354"/>
      <c r="AK239" s="354"/>
      <c r="AL239" s="354"/>
      <c r="AM239" s="354"/>
      <c r="AN239" s="354"/>
      <c r="AO239" s="354"/>
      <c r="AP239" s="354"/>
      <c r="AQ239" s="354"/>
      <c r="AR239" s="354"/>
      <c r="AS239" s="354"/>
      <c r="AT239" s="354"/>
      <c r="AU239" s="354"/>
      <c r="AV239" s="354"/>
      <c r="AW239" s="352"/>
      <c r="AX239" s="352"/>
      <c r="AY239" s="354"/>
      <c r="AZ239" s="354"/>
      <c r="BA239" s="354"/>
      <c r="BB239" s="354"/>
      <c r="BC239" s="354"/>
      <c r="BD239" s="354"/>
      <c r="BE239" s="354"/>
      <c r="BF239" s="354"/>
      <c r="BG239" s="354"/>
      <c r="BH239" s="354"/>
      <c r="BI239" s="354"/>
      <c r="BJ239" s="354"/>
      <c r="BK239" s="354"/>
      <c r="BL239" s="354"/>
      <c r="BM239" s="352"/>
      <c r="BN239" s="352"/>
      <c r="BO239" s="354"/>
      <c r="BP239" s="354"/>
      <c r="BQ239" s="354"/>
      <c r="BR239" s="354"/>
      <c r="BS239" s="354"/>
      <c r="BT239" s="354"/>
      <c r="BU239" s="354"/>
      <c r="BV239" s="354"/>
      <c r="BW239" s="354"/>
      <c r="BX239" s="354"/>
      <c r="BY239" s="354"/>
      <c r="BZ239" s="354"/>
      <c r="CA239" s="354"/>
    </row>
    <row r="243" spans="1:79" ht="18" customHeight="1" x14ac:dyDescent="0.3"/>
    <row r="244" spans="1:79" ht="20.25" customHeight="1" x14ac:dyDescent="0.3"/>
    <row r="245" spans="1:79" s="364" customFormat="1" ht="20.25" customHeight="1" x14ac:dyDescent="0.3">
      <c r="A245" s="352"/>
      <c r="B245" s="352"/>
      <c r="C245" s="354"/>
      <c r="D245" s="354"/>
      <c r="E245" s="354"/>
      <c r="F245" s="354"/>
      <c r="G245" s="354"/>
      <c r="H245" s="354"/>
      <c r="I245" s="354"/>
      <c r="J245" s="354"/>
      <c r="K245" s="354"/>
      <c r="L245" s="354"/>
      <c r="M245" s="354"/>
      <c r="N245" s="354"/>
      <c r="O245" s="354"/>
      <c r="P245" s="354"/>
      <c r="Q245" s="352"/>
      <c r="R245" s="352"/>
      <c r="S245" s="354"/>
      <c r="T245" s="354"/>
      <c r="U245" s="354"/>
      <c r="V245" s="354"/>
      <c r="W245" s="354"/>
      <c r="X245" s="354"/>
      <c r="Y245" s="354"/>
      <c r="Z245" s="354"/>
      <c r="AA245" s="354"/>
      <c r="AB245" s="354"/>
      <c r="AC245" s="354"/>
      <c r="AD245" s="354"/>
      <c r="AE245" s="354"/>
      <c r="AF245" s="354"/>
      <c r="AG245" s="352"/>
      <c r="AH245" s="352"/>
      <c r="AI245" s="354"/>
      <c r="AJ245" s="354"/>
      <c r="AK245" s="354"/>
      <c r="AL245" s="354"/>
      <c r="AM245" s="354"/>
      <c r="AN245" s="354"/>
      <c r="AO245" s="354"/>
      <c r="AP245" s="354"/>
      <c r="AQ245" s="354"/>
      <c r="AR245" s="354"/>
      <c r="AS245" s="354"/>
      <c r="AT245" s="354"/>
      <c r="AU245" s="354"/>
      <c r="AV245" s="354"/>
      <c r="AW245" s="352"/>
      <c r="AX245" s="352"/>
      <c r="AY245" s="354"/>
      <c r="AZ245" s="354"/>
      <c r="BA245" s="354"/>
      <c r="BB245" s="354"/>
      <c r="BC245" s="354"/>
      <c r="BD245" s="354"/>
      <c r="BE245" s="354"/>
      <c r="BF245" s="354"/>
      <c r="BG245" s="354"/>
      <c r="BH245" s="354"/>
      <c r="BI245" s="354"/>
      <c r="BJ245" s="354"/>
      <c r="BK245" s="354"/>
      <c r="BL245" s="354"/>
      <c r="BM245" s="352"/>
      <c r="BN245" s="352"/>
      <c r="BO245" s="354"/>
      <c r="BP245" s="354"/>
      <c r="BQ245" s="354"/>
      <c r="BR245" s="354"/>
      <c r="BS245" s="354"/>
      <c r="BT245" s="354"/>
      <c r="BU245" s="354"/>
      <c r="BV245" s="354"/>
      <c r="BW245" s="354"/>
      <c r="BX245" s="354"/>
      <c r="BY245" s="354"/>
      <c r="BZ245" s="354"/>
      <c r="CA245" s="354"/>
    </row>
    <row r="246" spans="1:79" s="364" customFormat="1" x14ac:dyDescent="0.3">
      <c r="A246" s="352"/>
      <c r="B246" s="352"/>
      <c r="C246" s="354"/>
      <c r="D246" s="354"/>
      <c r="E246" s="354"/>
      <c r="F246" s="354"/>
      <c r="G246" s="354"/>
      <c r="H246" s="354"/>
      <c r="I246" s="354"/>
      <c r="J246" s="354"/>
      <c r="K246" s="354"/>
      <c r="L246" s="354"/>
      <c r="M246" s="354"/>
      <c r="N246" s="354"/>
      <c r="O246" s="354"/>
      <c r="P246" s="354"/>
      <c r="Q246" s="352"/>
      <c r="R246" s="352"/>
      <c r="S246" s="354"/>
      <c r="T246" s="354"/>
      <c r="U246" s="354"/>
      <c r="V246" s="354"/>
      <c r="W246" s="354"/>
      <c r="X246" s="354"/>
      <c r="Y246" s="354"/>
      <c r="Z246" s="354"/>
      <c r="AA246" s="354"/>
      <c r="AB246" s="354"/>
      <c r="AC246" s="354"/>
      <c r="AD246" s="354"/>
      <c r="AE246" s="354"/>
      <c r="AF246" s="354"/>
      <c r="AG246" s="352"/>
      <c r="AH246" s="352"/>
      <c r="AI246" s="354"/>
      <c r="AJ246" s="354"/>
      <c r="AK246" s="354"/>
      <c r="AL246" s="354"/>
      <c r="AM246" s="354"/>
      <c r="AN246" s="354"/>
      <c r="AO246" s="354"/>
      <c r="AP246" s="354"/>
      <c r="AQ246" s="354"/>
      <c r="AR246" s="354"/>
      <c r="AS246" s="354"/>
      <c r="AT246" s="354"/>
      <c r="AU246" s="354"/>
      <c r="AV246" s="354"/>
      <c r="AW246" s="352"/>
      <c r="AX246" s="352"/>
      <c r="AY246" s="354"/>
      <c r="AZ246" s="354"/>
      <c r="BA246" s="354"/>
      <c r="BB246" s="354"/>
      <c r="BC246" s="354"/>
      <c r="BD246" s="354"/>
      <c r="BE246" s="354"/>
      <c r="BF246" s="354"/>
      <c r="BG246" s="354"/>
      <c r="BH246" s="354"/>
      <c r="BI246" s="354"/>
      <c r="BJ246" s="354"/>
      <c r="BK246" s="354"/>
      <c r="BL246" s="354"/>
      <c r="BM246" s="352"/>
      <c r="BN246" s="352"/>
      <c r="BO246" s="354"/>
      <c r="BP246" s="354"/>
      <c r="BQ246" s="354"/>
      <c r="BR246" s="354"/>
      <c r="BS246" s="354"/>
      <c r="BT246" s="354"/>
      <c r="BU246" s="354"/>
      <c r="BV246" s="354"/>
      <c r="BW246" s="354"/>
      <c r="BX246" s="354"/>
      <c r="BY246" s="354"/>
      <c r="BZ246" s="354"/>
      <c r="CA246" s="354"/>
    </row>
    <row r="247" spans="1:79" s="364" customFormat="1" x14ac:dyDescent="0.3">
      <c r="A247" s="352"/>
      <c r="B247" s="352"/>
      <c r="C247" s="354"/>
      <c r="D247" s="354"/>
      <c r="E247" s="354"/>
      <c r="F247" s="354"/>
      <c r="G247" s="354"/>
      <c r="H247" s="354"/>
      <c r="I247" s="354"/>
      <c r="J247" s="354"/>
      <c r="K247" s="354"/>
      <c r="L247" s="354"/>
      <c r="M247" s="354"/>
      <c r="N247" s="354"/>
      <c r="O247" s="354"/>
      <c r="P247" s="354"/>
      <c r="Q247" s="352"/>
      <c r="R247" s="352"/>
      <c r="S247" s="354"/>
      <c r="T247" s="354"/>
      <c r="U247" s="354"/>
      <c r="V247" s="354"/>
      <c r="W247" s="354"/>
      <c r="X247" s="354"/>
      <c r="Y247" s="354"/>
      <c r="Z247" s="354"/>
      <c r="AA247" s="354"/>
      <c r="AB247" s="354"/>
      <c r="AC247" s="354"/>
      <c r="AD247" s="354"/>
      <c r="AE247" s="354"/>
      <c r="AF247" s="354"/>
      <c r="AG247" s="352"/>
      <c r="AH247" s="352"/>
      <c r="AI247" s="354"/>
      <c r="AJ247" s="354"/>
      <c r="AK247" s="354"/>
      <c r="AL247" s="354"/>
      <c r="AM247" s="354"/>
      <c r="AN247" s="354"/>
      <c r="AO247" s="354"/>
      <c r="AP247" s="354"/>
      <c r="AQ247" s="354"/>
      <c r="AR247" s="354"/>
      <c r="AS247" s="354"/>
      <c r="AT247" s="354"/>
      <c r="AU247" s="354"/>
      <c r="AV247" s="354"/>
      <c r="AW247" s="352"/>
      <c r="AX247" s="352"/>
      <c r="AY247" s="354"/>
      <c r="AZ247" s="354"/>
      <c r="BA247" s="354"/>
      <c r="BB247" s="354"/>
      <c r="BC247" s="354"/>
      <c r="BD247" s="354"/>
      <c r="BE247" s="354"/>
      <c r="BF247" s="354"/>
      <c r="BG247" s="354"/>
      <c r="BH247" s="354"/>
      <c r="BI247" s="354"/>
      <c r="BJ247" s="354"/>
      <c r="BK247" s="354"/>
      <c r="BL247" s="354"/>
      <c r="BM247" s="352"/>
      <c r="BN247" s="352"/>
      <c r="BO247" s="354"/>
      <c r="BP247" s="354"/>
      <c r="BQ247" s="354"/>
      <c r="BR247" s="354"/>
      <c r="BS247" s="354"/>
      <c r="BT247" s="354"/>
      <c r="BU247" s="354"/>
      <c r="BV247" s="354"/>
      <c r="BW247" s="354"/>
      <c r="BX247" s="354"/>
      <c r="BY247" s="354"/>
      <c r="BZ247" s="354"/>
      <c r="CA247" s="354"/>
    </row>
    <row r="248" spans="1:79" s="364" customFormat="1" x14ac:dyDescent="0.3">
      <c r="A248" s="352"/>
      <c r="B248" s="352"/>
      <c r="C248" s="354"/>
      <c r="D248" s="354"/>
      <c r="E248" s="354"/>
      <c r="F248" s="354"/>
      <c r="G248" s="354"/>
      <c r="H248" s="354"/>
      <c r="I248" s="354"/>
      <c r="J248" s="354"/>
      <c r="K248" s="354"/>
      <c r="L248" s="354"/>
      <c r="M248" s="354"/>
      <c r="N248" s="354"/>
      <c r="O248" s="354"/>
      <c r="P248" s="354"/>
      <c r="Q248" s="352"/>
      <c r="R248" s="352"/>
      <c r="S248" s="354"/>
      <c r="T248" s="354"/>
      <c r="U248" s="354"/>
      <c r="V248" s="354"/>
      <c r="W248" s="354"/>
      <c r="X248" s="354"/>
      <c r="Y248" s="354"/>
      <c r="Z248" s="354"/>
      <c r="AA248" s="354"/>
      <c r="AB248" s="354"/>
      <c r="AC248" s="354"/>
      <c r="AD248" s="354"/>
      <c r="AE248" s="354"/>
      <c r="AF248" s="354"/>
      <c r="AG248" s="352"/>
      <c r="AH248" s="352"/>
      <c r="AI248" s="354"/>
      <c r="AJ248" s="354"/>
      <c r="AK248" s="354"/>
      <c r="AL248" s="354"/>
      <c r="AM248" s="354"/>
      <c r="AN248" s="354"/>
      <c r="AO248" s="354"/>
      <c r="AP248" s="354"/>
      <c r="AQ248" s="354"/>
      <c r="AR248" s="354"/>
      <c r="AS248" s="354"/>
      <c r="AT248" s="354"/>
      <c r="AU248" s="354"/>
      <c r="AV248" s="354"/>
      <c r="AW248" s="352"/>
      <c r="AX248" s="352"/>
      <c r="AY248" s="354"/>
      <c r="AZ248" s="354"/>
      <c r="BA248" s="354"/>
      <c r="BB248" s="354"/>
      <c r="BC248" s="354"/>
      <c r="BD248" s="354"/>
      <c r="BE248" s="354"/>
      <c r="BF248" s="354"/>
      <c r="BG248" s="354"/>
      <c r="BH248" s="354"/>
      <c r="BI248" s="354"/>
      <c r="BJ248" s="354"/>
      <c r="BK248" s="354"/>
      <c r="BL248" s="354"/>
      <c r="BM248" s="352"/>
      <c r="BN248" s="352"/>
      <c r="BO248" s="354"/>
      <c r="BP248" s="354"/>
      <c r="BQ248" s="354"/>
      <c r="BR248" s="354"/>
      <c r="BS248" s="354"/>
      <c r="BT248" s="354"/>
      <c r="BU248" s="354"/>
      <c r="BV248" s="354"/>
      <c r="BW248" s="354"/>
      <c r="BX248" s="354"/>
      <c r="BY248" s="354"/>
      <c r="BZ248" s="354"/>
      <c r="CA248" s="354"/>
    </row>
    <row r="251" spans="1:79" s="391" customFormat="1" ht="20.25" customHeight="1" x14ac:dyDescent="0.3">
      <c r="A251" s="352"/>
      <c r="B251" s="352"/>
      <c r="C251" s="354"/>
      <c r="D251" s="354"/>
      <c r="E251" s="354"/>
      <c r="F251" s="354"/>
      <c r="G251" s="354"/>
      <c r="H251" s="354"/>
      <c r="I251" s="354"/>
      <c r="J251" s="354"/>
      <c r="K251" s="354"/>
      <c r="L251" s="354"/>
      <c r="M251" s="354"/>
      <c r="N251" s="354"/>
      <c r="O251" s="354"/>
      <c r="P251" s="354"/>
      <c r="Q251" s="352"/>
      <c r="R251" s="352"/>
      <c r="S251" s="354"/>
      <c r="T251" s="354"/>
      <c r="U251" s="354"/>
      <c r="V251" s="354"/>
      <c r="W251" s="354"/>
      <c r="X251" s="354"/>
      <c r="Y251" s="354"/>
      <c r="Z251" s="354"/>
      <c r="AA251" s="354"/>
      <c r="AB251" s="354"/>
      <c r="AC251" s="354"/>
      <c r="AD251" s="354"/>
      <c r="AE251" s="354"/>
      <c r="AF251" s="354"/>
      <c r="AG251" s="352"/>
      <c r="AH251" s="352"/>
      <c r="AI251" s="354"/>
      <c r="AJ251" s="354"/>
      <c r="AK251" s="354"/>
      <c r="AL251" s="354"/>
      <c r="AM251" s="354"/>
      <c r="AN251" s="354"/>
      <c r="AO251" s="354"/>
      <c r="AP251" s="354"/>
      <c r="AQ251" s="354"/>
      <c r="AR251" s="354"/>
      <c r="AS251" s="354"/>
      <c r="AT251" s="354"/>
      <c r="AU251" s="354"/>
      <c r="AV251" s="354"/>
      <c r="AW251" s="352"/>
      <c r="AX251" s="352"/>
      <c r="AY251" s="354"/>
      <c r="AZ251" s="354"/>
      <c r="BA251" s="354"/>
      <c r="BB251" s="354"/>
      <c r="BC251" s="354"/>
      <c r="BD251" s="354"/>
      <c r="BE251" s="354"/>
      <c r="BF251" s="354"/>
      <c r="BG251" s="354"/>
      <c r="BH251" s="354"/>
      <c r="BI251" s="354"/>
      <c r="BJ251" s="354"/>
      <c r="BK251" s="354"/>
      <c r="BL251" s="354"/>
      <c r="BM251" s="352"/>
      <c r="BN251" s="352"/>
      <c r="BO251" s="354"/>
      <c r="BP251" s="354"/>
      <c r="BQ251" s="354"/>
      <c r="BR251" s="354"/>
      <c r="BS251" s="354"/>
      <c r="BT251" s="354"/>
      <c r="BU251" s="354"/>
      <c r="BV251" s="354"/>
      <c r="BW251" s="354"/>
      <c r="BX251" s="354"/>
      <c r="BY251" s="354"/>
      <c r="BZ251" s="354"/>
      <c r="CA251" s="354"/>
    </row>
    <row r="252" spans="1:79" ht="16.5" customHeight="1" x14ac:dyDescent="0.3"/>
    <row r="253" spans="1:79" ht="25.5" customHeight="1" x14ac:dyDescent="0.3"/>
    <row r="254" spans="1:79" ht="29.25" customHeight="1" x14ac:dyDescent="0.3"/>
    <row r="255" spans="1:79" ht="60" customHeight="1" x14ac:dyDescent="0.3"/>
    <row r="256" spans="1:79" ht="20.25" customHeight="1" x14ac:dyDescent="0.3"/>
    <row r="257" spans="1:79" s="364" customFormat="1" ht="20.25" customHeight="1" x14ac:dyDescent="0.3">
      <c r="A257" s="352"/>
      <c r="B257" s="352"/>
      <c r="C257" s="354"/>
      <c r="D257" s="354"/>
      <c r="E257" s="354"/>
      <c r="F257" s="354"/>
      <c r="G257" s="354"/>
      <c r="H257" s="354"/>
      <c r="I257" s="354"/>
      <c r="J257" s="354"/>
      <c r="K257" s="354"/>
      <c r="L257" s="354"/>
      <c r="M257" s="354"/>
      <c r="N257" s="354"/>
      <c r="O257" s="354"/>
      <c r="P257" s="354"/>
      <c r="Q257" s="352"/>
      <c r="R257" s="352"/>
      <c r="S257" s="354"/>
      <c r="T257" s="354"/>
      <c r="U257" s="354"/>
      <c r="V257" s="354"/>
      <c r="W257" s="354"/>
      <c r="X257" s="354"/>
      <c r="Y257" s="354"/>
      <c r="Z257" s="354"/>
      <c r="AA257" s="354"/>
      <c r="AB257" s="354"/>
      <c r="AC257" s="354"/>
      <c r="AD257" s="354"/>
      <c r="AE257" s="354"/>
      <c r="AF257" s="354"/>
      <c r="AG257" s="352"/>
      <c r="AH257" s="352"/>
      <c r="AI257" s="354"/>
      <c r="AJ257" s="354"/>
      <c r="AK257" s="354"/>
      <c r="AL257" s="354"/>
      <c r="AM257" s="354"/>
      <c r="AN257" s="354"/>
      <c r="AO257" s="354"/>
      <c r="AP257" s="354"/>
      <c r="AQ257" s="354"/>
      <c r="AR257" s="354"/>
      <c r="AS257" s="354"/>
      <c r="AT257" s="354"/>
      <c r="AU257" s="354"/>
      <c r="AV257" s="354"/>
      <c r="AW257" s="352"/>
      <c r="AX257" s="352"/>
      <c r="AY257" s="354"/>
      <c r="AZ257" s="354"/>
      <c r="BA257" s="354"/>
      <c r="BB257" s="354"/>
      <c r="BC257" s="354"/>
      <c r="BD257" s="354"/>
      <c r="BE257" s="354"/>
      <c r="BF257" s="354"/>
      <c r="BG257" s="354"/>
      <c r="BH257" s="354"/>
      <c r="BI257" s="354"/>
      <c r="BJ257" s="354"/>
      <c r="BK257" s="354"/>
      <c r="BL257" s="354"/>
      <c r="BM257" s="352"/>
      <c r="BN257" s="352"/>
      <c r="BO257" s="354"/>
      <c r="BP257" s="354"/>
      <c r="BQ257" s="354"/>
      <c r="BR257" s="354"/>
      <c r="BS257" s="354"/>
      <c r="BT257" s="354"/>
      <c r="BU257" s="354"/>
      <c r="BV257" s="354"/>
      <c r="BW257" s="354"/>
      <c r="BX257" s="354"/>
      <c r="BY257" s="354"/>
      <c r="BZ257" s="354"/>
      <c r="CA257" s="354"/>
    </row>
    <row r="258" spans="1:79" s="364" customFormat="1" x14ac:dyDescent="0.3">
      <c r="A258" s="352"/>
      <c r="B258" s="352"/>
      <c r="C258" s="354"/>
      <c r="D258" s="354"/>
      <c r="E258" s="354"/>
      <c r="F258" s="354"/>
      <c r="G258" s="354"/>
      <c r="H258" s="354"/>
      <c r="I258" s="354"/>
      <c r="J258" s="354"/>
      <c r="K258" s="354"/>
      <c r="L258" s="354"/>
      <c r="M258" s="354"/>
      <c r="N258" s="354"/>
      <c r="O258" s="354"/>
      <c r="P258" s="354"/>
      <c r="Q258" s="352"/>
      <c r="R258" s="352"/>
      <c r="S258" s="354"/>
      <c r="T258" s="354"/>
      <c r="U258" s="354"/>
      <c r="V258" s="354"/>
      <c r="W258" s="354"/>
      <c r="X258" s="354"/>
      <c r="Y258" s="354"/>
      <c r="Z258" s="354"/>
      <c r="AA258" s="354"/>
      <c r="AB258" s="354"/>
      <c r="AC258" s="354"/>
      <c r="AD258" s="354"/>
      <c r="AE258" s="354"/>
      <c r="AF258" s="354"/>
      <c r="AG258" s="352"/>
      <c r="AH258" s="352"/>
      <c r="AI258" s="354"/>
      <c r="AJ258" s="354"/>
      <c r="AK258" s="354"/>
      <c r="AL258" s="354"/>
      <c r="AM258" s="354"/>
      <c r="AN258" s="354"/>
      <c r="AO258" s="354"/>
      <c r="AP258" s="354"/>
      <c r="AQ258" s="354"/>
      <c r="AR258" s="354"/>
      <c r="AS258" s="354"/>
      <c r="AT258" s="354"/>
      <c r="AU258" s="354"/>
      <c r="AV258" s="354"/>
      <c r="AW258" s="352"/>
      <c r="AX258" s="352"/>
      <c r="AY258" s="354"/>
      <c r="AZ258" s="354"/>
      <c r="BA258" s="354"/>
      <c r="BB258" s="354"/>
      <c r="BC258" s="354"/>
      <c r="BD258" s="354"/>
      <c r="BE258" s="354"/>
      <c r="BF258" s="354"/>
      <c r="BG258" s="354"/>
      <c r="BH258" s="354"/>
      <c r="BI258" s="354"/>
      <c r="BJ258" s="354"/>
      <c r="BK258" s="354"/>
      <c r="BL258" s="354"/>
      <c r="BM258" s="352"/>
      <c r="BN258" s="352"/>
      <c r="BO258" s="354"/>
      <c r="BP258" s="354"/>
      <c r="BQ258" s="354"/>
      <c r="BR258" s="354"/>
      <c r="BS258" s="354"/>
      <c r="BT258" s="354"/>
      <c r="BU258" s="354"/>
      <c r="BV258" s="354"/>
      <c r="BW258" s="354"/>
      <c r="BX258" s="354"/>
      <c r="BY258" s="354"/>
      <c r="BZ258" s="354"/>
      <c r="CA258" s="354"/>
    </row>
    <row r="259" spans="1:79" s="364" customFormat="1" x14ac:dyDescent="0.3">
      <c r="A259" s="352"/>
      <c r="B259" s="352"/>
      <c r="C259" s="354"/>
      <c r="D259" s="354"/>
      <c r="E259" s="354"/>
      <c r="F259" s="354"/>
      <c r="G259" s="354"/>
      <c r="H259" s="354"/>
      <c r="I259" s="354"/>
      <c r="J259" s="354"/>
      <c r="K259" s="354"/>
      <c r="L259" s="354"/>
      <c r="M259" s="354"/>
      <c r="N259" s="354"/>
      <c r="O259" s="354"/>
      <c r="P259" s="354"/>
      <c r="Q259" s="352"/>
      <c r="R259" s="352"/>
      <c r="S259" s="354"/>
      <c r="T259" s="354"/>
      <c r="U259" s="354"/>
      <c r="V259" s="354"/>
      <c r="W259" s="354"/>
      <c r="X259" s="354"/>
      <c r="Y259" s="354"/>
      <c r="Z259" s="354"/>
      <c r="AA259" s="354"/>
      <c r="AB259" s="354"/>
      <c r="AC259" s="354"/>
      <c r="AD259" s="354"/>
      <c r="AE259" s="354"/>
      <c r="AF259" s="354"/>
      <c r="AG259" s="352"/>
      <c r="AH259" s="352"/>
      <c r="AI259" s="354"/>
      <c r="AJ259" s="354"/>
      <c r="AK259" s="354"/>
      <c r="AL259" s="354"/>
      <c r="AM259" s="354"/>
      <c r="AN259" s="354"/>
      <c r="AO259" s="354"/>
      <c r="AP259" s="354"/>
      <c r="AQ259" s="354"/>
      <c r="AR259" s="354"/>
      <c r="AS259" s="354"/>
      <c r="AT259" s="354"/>
      <c r="AU259" s="354"/>
      <c r="AV259" s="354"/>
      <c r="AW259" s="352"/>
      <c r="AX259" s="352"/>
      <c r="AY259" s="354"/>
      <c r="AZ259" s="354"/>
      <c r="BA259" s="354"/>
      <c r="BB259" s="354"/>
      <c r="BC259" s="354"/>
      <c r="BD259" s="354"/>
      <c r="BE259" s="354"/>
      <c r="BF259" s="354"/>
      <c r="BG259" s="354"/>
      <c r="BH259" s="354"/>
      <c r="BI259" s="354"/>
      <c r="BJ259" s="354"/>
      <c r="BK259" s="354"/>
      <c r="BL259" s="354"/>
      <c r="BM259" s="352"/>
      <c r="BN259" s="352"/>
      <c r="BO259" s="354"/>
      <c r="BP259" s="354"/>
      <c r="BQ259" s="354"/>
      <c r="BR259" s="354"/>
      <c r="BS259" s="354"/>
      <c r="BT259" s="354"/>
      <c r="BU259" s="354"/>
      <c r="BV259" s="354"/>
      <c r="BW259" s="354"/>
      <c r="BX259" s="354"/>
      <c r="BY259" s="354"/>
      <c r="BZ259" s="354"/>
      <c r="CA259" s="354"/>
    </row>
    <row r="260" spans="1:79" s="364" customFormat="1" x14ac:dyDescent="0.3">
      <c r="A260" s="352"/>
      <c r="B260" s="352"/>
      <c r="C260" s="354"/>
      <c r="D260" s="354"/>
      <c r="E260" s="354"/>
      <c r="F260" s="354"/>
      <c r="G260" s="354"/>
      <c r="H260" s="354"/>
      <c r="I260" s="354"/>
      <c r="J260" s="354"/>
      <c r="K260" s="354"/>
      <c r="L260" s="354"/>
      <c r="M260" s="354"/>
      <c r="N260" s="354"/>
      <c r="O260" s="354"/>
      <c r="P260" s="354"/>
      <c r="Q260" s="352"/>
      <c r="R260" s="352"/>
      <c r="S260" s="354"/>
      <c r="T260" s="354"/>
      <c r="U260" s="354"/>
      <c r="V260" s="354"/>
      <c r="W260" s="354"/>
      <c r="X260" s="354"/>
      <c r="Y260" s="354"/>
      <c r="Z260" s="354"/>
      <c r="AA260" s="354"/>
      <c r="AB260" s="354"/>
      <c r="AC260" s="354"/>
      <c r="AD260" s="354"/>
      <c r="AE260" s="354"/>
      <c r="AF260" s="354"/>
      <c r="AG260" s="352"/>
      <c r="AH260" s="352"/>
      <c r="AI260" s="354"/>
      <c r="AJ260" s="354"/>
      <c r="AK260" s="354"/>
      <c r="AL260" s="354"/>
      <c r="AM260" s="354"/>
      <c r="AN260" s="354"/>
      <c r="AO260" s="354"/>
      <c r="AP260" s="354"/>
      <c r="AQ260" s="354"/>
      <c r="AR260" s="354"/>
      <c r="AS260" s="354"/>
      <c r="AT260" s="354"/>
      <c r="AU260" s="354"/>
      <c r="AV260" s="354"/>
      <c r="AW260" s="352"/>
      <c r="AX260" s="352"/>
      <c r="AY260" s="354"/>
      <c r="AZ260" s="354"/>
      <c r="BA260" s="354"/>
      <c r="BB260" s="354"/>
      <c r="BC260" s="354"/>
      <c r="BD260" s="354"/>
      <c r="BE260" s="354"/>
      <c r="BF260" s="354"/>
      <c r="BG260" s="354"/>
      <c r="BH260" s="354"/>
      <c r="BI260" s="354"/>
      <c r="BJ260" s="354"/>
      <c r="BK260" s="354"/>
      <c r="BL260" s="354"/>
      <c r="BM260" s="352"/>
      <c r="BN260" s="352"/>
      <c r="BO260" s="354"/>
      <c r="BP260" s="354"/>
      <c r="BQ260" s="354"/>
      <c r="BR260" s="354"/>
      <c r="BS260" s="354"/>
      <c r="BT260" s="354"/>
      <c r="BU260" s="354"/>
      <c r="BV260" s="354"/>
      <c r="BW260" s="354"/>
      <c r="BX260" s="354"/>
      <c r="BY260" s="354"/>
      <c r="BZ260" s="354"/>
      <c r="CA260" s="354"/>
    </row>
    <row r="263" spans="1:79" s="391" customFormat="1" x14ac:dyDescent="0.3">
      <c r="A263" s="352"/>
      <c r="B263" s="352"/>
      <c r="C263" s="354"/>
      <c r="D263" s="354"/>
      <c r="E263" s="354"/>
      <c r="F263" s="354"/>
      <c r="G263" s="354"/>
      <c r="H263" s="354"/>
      <c r="I263" s="354"/>
      <c r="J263" s="354"/>
      <c r="K263" s="354"/>
      <c r="L263" s="354"/>
      <c r="M263" s="354"/>
      <c r="N263" s="354"/>
      <c r="O263" s="354"/>
      <c r="P263" s="354"/>
      <c r="Q263" s="352"/>
      <c r="R263" s="352"/>
      <c r="S263" s="354"/>
      <c r="T263" s="354"/>
      <c r="U263" s="354"/>
      <c r="V263" s="354"/>
      <c r="W263" s="354"/>
      <c r="X263" s="354"/>
      <c r="Y263" s="354"/>
      <c r="Z263" s="354"/>
      <c r="AA263" s="354"/>
      <c r="AB263" s="354"/>
      <c r="AC263" s="354"/>
      <c r="AD263" s="354"/>
      <c r="AE263" s="354"/>
      <c r="AF263" s="354"/>
      <c r="AG263" s="352"/>
      <c r="AH263" s="352"/>
      <c r="AI263" s="354"/>
      <c r="AJ263" s="354"/>
      <c r="AK263" s="354"/>
      <c r="AL263" s="354"/>
      <c r="AM263" s="354"/>
      <c r="AN263" s="354"/>
      <c r="AO263" s="354"/>
      <c r="AP263" s="354"/>
      <c r="AQ263" s="354"/>
      <c r="AR263" s="354"/>
      <c r="AS263" s="354"/>
      <c r="AT263" s="354"/>
      <c r="AU263" s="354"/>
      <c r="AV263" s="354"/>
      <c r="AW263" s="352"/>
      <c r="AX263" s="352"/>
      <c r="AY263" s="354"/>
      <c r="AZ263" s="354"/>
      <c r="BA263" s="354"/>
      <c r="BB263" s="354"/>
      <c r="BC263" s="354"/>
      <c r="BD263" s="354"/>
      <c r="BE263" s="354"/>
      <c r="BF263" s="354"/>
      <c r="BG263" s="354"/>
      <c r="BH263" s="354"/>
      <c r="BI263" s="354"/>
      <c r="BJ263" s="354"/>
      <c r="BK263" s="354"/>
      <c r="BL263" s="354"/>
      <c r="BM263" s="352"/>
      <c r="BN263" s="352"/>
      <c r="BO263" s="354"/>
      <c r="BP263" s="354"/>
      <c r="BQ263" s="354"/>
      <c r="BR263" s="354"/>
      <c r="BS263" s="354"/>
      <c r="BT263" s="354"/>
      <c r="BU263" s="354"/>
      <c r="BV263" s="354"/>
      <c r="BW263" s="354"/>
      <c r="BX263" s="354"/>
      <c r="BY263" s="354"/>
      <c r="BZ263" s="354"/>
      <c r="CA263" s="354"/>
    </row>
    <row r="265" spans="1:79" ht="28.5" customHeight="1" x14ac:dyDescent="0.3"/>
    <row r="266" spans="1:79" ht="30.75" customHeight="1" x14ac:dyDescent="0.3"/>
    <row r="267" spans="1:79" ht="54.9" customHeight="1" x14ac:dyDescent="0.3"/>
    <row r="268" spans="1:79" ht="20.25" customHeight="1" x14ac:dyDescent="0.3"/>
    <row r="269" spans="1:79" ht="20.25" customHeight="1" x14ac:dyDescent="0.3"/>
    <row r="270" spans="1:79" s="364" customFormat="1" x14ac:dyDescent="0.3">
      <c r="A270" s="352"/>
      <c r="B270" s="352"/>
      <c r="C270" s="354"/>
      <c r="D270" s="354"/>
      <c r="E270" s="354"/>
      <c r="F270" s="354"/>
      <c r="G270" s="354"/>
      <c r="H270" s="354"/>
      <c r="I270" s="354"/>
      <c r="J270" s="354"/>
      <c r="K270" s="354"/>
      <c r="L270" s="354"/>
      <c r="M270" s="354"/>
      <c r="N270" s="354"/>
      <c r="O270" s="354"/>
      <c r="P270" s="354"/>
      <c r="Q270" s="352"/>
      <c r="R270" s="352"/>
      <c r="S270" s="354"/>
      <c r="T270" s="354"/>
      <c r="U270" s="354"/>
      <c r="V270" s="354"/>
      <c r="W270" s="354"/>
      <c r="X270" s="354"/>
      <c r="Y270" s="354"/>
      <c r="Z270" s="354"/>
      <c r="AA270" s="354"/>
      <c r="AB270" s="354"/>
      <c r="AC270" s="354"/>
      <c r="AD270" s="354"/>
      <c r="AE270" s="354"/>
      <c r="AF270" s="354"/>
      <c r="AG270" s="352"/>
      <c r="AH270" s="352"/>
      <c r="AI270" s="354"/>
      <c r="AJ270" s="354"/>
      <c r="AK270" s="354"/>
      <c r="AL270" s="354"/>
      <c r="AM270" s="354"/>
      <c r="AN270" s="354"/>
      <c r="AO270" s="354"/>
      <c r="AP270" s="354"/>
      <c r="AQ270" s="354"/>
      <c r="AR270" s="354"/>
      <c r="AS270" s="354"/>
      <c r="AT270" s="354"/>
      <c r="AU270" s="354"/>
      <c r="AV270" s="354"/>
      <c r="AW270" s="352"/>
      <c r="AX270" s="352"/>
      <c r="AY270" s="354"/>
      <c r="AZ270" s="354"/>
      <c r="BA270" s="354"/>
      <c r="BB270" s="354"/>
      <c r="BC270" s="354"/>
      <c r="BD270" s="354"/>
      <c r="BE270" s="354"/>
      <c r="BF270" s="354"/>
      <c r="BG270" s="354"/>
      <c r="BH270" s="354"/>
      <c r="BI270" s="354"/>
      <c r="BJ270" s="354"/>
      <c r="BK270" s="354"/>
      <c r="BL270" s="354"/>
      <c r="BM270" s="352"/>
      <c r="BN270" s="352"/>
      <c r="BO270" s="354"/>
      <c r="BP270" s="354"/>
      <c r="BQ270" s="354"/>
      <c r="BR270" s="354"/>
      <c r="BS270" s="354"/>
      <c r="BT270" s="354"/>
      <c r="BU270" s="354"/>
      <c r="BV270" s="354"/>
      <c r="BW270" s="354"/>
      <c r="BX270" s="354"/>
      <c r="BY270" s="354"/>
      <c r="BZ270" s="354"/>
      <c r="CA270" s="354"/>
    </row>
    <row r="271" spans="1:79" s="364" customFormat="1" x14ac:dyDescent="0.3">
      <c r="A271" s="352"/>
      <c r="B271" s="352"/>
      <c r="C271" s="354"/>
      <c r="D271" s="354"/>
      <c r="E271" s="354"/>
      <c r="F271" s="354"/>
      <c r="G271" s="354"/>
      <c r="H271" s="354"/>
      <c r="I271" s="354"/>
      <c r="J271" s="354"/>
      <c r="K271" s="354"/>
      <c r="L271" s="354"/>
      <c r="M271" s="354"/>
      <c r="N271" s="354"/>
      <c r="O271" s="354"/>
      <c r="P271" s="354"/>
      <c r="Q271" s="352"/>
      <c r="R271" s="352"/>
      <c r="S271" s="354"/>
      <c r="T271" s="354"/>
      <c r="U271" s="354"/>
      <c r="V271" s="354"/>
      <c r="W271" s="354"/>
      <c r="X271" s="354"/>
      <c r="Y271" s="354"/>
      <c r="Z271" s="354"/>
      <c r="AA271" s="354"/>
      <c r="AB271" s="354"/>
      <c r="AC271" s="354"/>
      <c r="AD271" s="354"/>
      <c r="AE271" s="354"/>
      <c r="AF271" s="354"/>
      <c r="AG271" s="352"/>
      <c r="AH271" s="352"/>
      <c r="AI271" s="354"/>
      <c r="AJ271" s="354"/>
      <c r="AK271" s="354"/>
      <c r="AL271" s="354"/>
      <c r="AM271" s="354"/>
      <c r="AN271" s="354"/>
      <c r="AO271" s="354"/>
      <c r="AP271" s="354"/>
      <c r="AQ271" s="354"/>
      <c r="AR271" s="354"/>
      <c r="AS271" s="354"/>
      <c r="AT271" s="354"/>
      <c r="AU271" s="354"/>
      <c r="AV271" s="354"/>
      <c r="AW271" s="352"/>
      <c r="AX271" s="352"/>
      <c r="AY271" s="354"/>
      <c r="AZ271" s="354"/>
      <c r="BA271" s="354"/>
      <c r="BB271" s="354"/>
      <c r="BC271" s="354"/>
      <c r="BD271" s="354"/>
      <c r="BE271" s="354"/>
      <c r="BF271" s="354"/>
      <c r="BG271" s="354"/>
      <c r="BH271" s="354"/>
      <c r="BI271" s="354"/>
      <c r="BJ271" s="354"/>
      <c r="BK271" s="354"/>
      <c r="BL271" s="354"/>
      <c r="BM271" s="352"/>
      <c r="BN271" s="352"/>
      <c r="BO271" s="354"/>
      <c r="BP271" s="354"/>
      <c r="BQ271" s="354"/>
      <c r="BR271" s="354"/>
      <c r="BS271" s="354"/>
      <c r="BT271" s="354"/>
      <c r="BU271" s="354"/>
      <c r="BV271" s="354"/>
      <c r="BW271" s="354"/>
      <c r="BX271" s="354"/>
      <c r="BY271" s="354"/>
      <c r="BZ271" s="354"/>
      <c r="CA271" s="354"/>
    </row>
    <row r="272" spans="1:79" s="364" customFormat="1" x14ac:dyDescent="0.3">
      <c r="A272" s="352"/>
      <c r="B272" s="352"/>
      <c r="C272" s="354"/>
      <c r="D272" s="354"/>
      <c r="E272" s="354"/>
      <c r="F272" s="354"/>
      <c r="G272" s="354"/>
      <c r="H272" s="354"/>
      <c r="I272" s="354"/>
      <c r="J272" s="354"/>
      <c r="K272" s="354"/>
      <c r="L272" s="354"/>
      <c r="M272" s="354"/>
      <c r="N272" s="354"/>
      <c r="O272" s="354"/>
      <c r="P272" s="354"/>
      <c r="Q272" s="352"/>
      <c r="R272" s="352"/>
      <c r="S272" s="354"/>
      <c r="T272" s="354"/>
      <c r="U272" s="354"/>
      <c r="V272" s="354"/>
      <c r="W272" s="354"/>
      <c r="X272" s="354"/>
      <c r="Y272" s="354"/>
      <c r="Z272" s="354"/>
      <c r="AA272" s="354"/>
      <c r="AB272" s="354"/>
      <c r="AC272" s="354"/>
      <c r="AD272" s="354"/>
      <c r="AE272" s="354"/>
      <c r="AF272" s="354"/>
      <c r="AG272" s="352"/>
      <c r="AH272" s="352"/>
      <c r="AI272" s="354"/>
      <c r="AJ272" s="354"/>
      <c r="AK272" s="354"/>
      <c r="AL272" s="354"/>
      <c r="AM272" s="354"/>
      <c r="AN272" s="354"/>
      <c r="AO272" s="354"/>
      <c r="AP272" s="354"/>
      <c r="AQ272" s="354"/>
      <c r="AR272" s="354"/>
      <c r="AS272" s="354"/>
      <c r="AT272" s="354"/>
      <c r="AU272" s="354"/>
      <c r="AV272" s="354"/>
      <c r="AW272" s="352"/>
      <c r="AX272" s="352"/>
      <c r="AY272" s="354"/>
      <c r="AZ272" s="354"/>
      <c r="BA272" s="354"/>
      <c r="BB272" s="354"/>
      <c r="BC272" s="354"/>
      <c r="BD272" s="354"/>
      <c r="BE272" s="354"/>
      <c r="BF272" s="354"/>
      <c r="BG272" s="354"/>
      <c r="BH272" s="354"/>
      <c r="BI272" s="354"/>
      <c r="BJ272" s="354"/>
      <c r="BK272" s="354"/>
      <c r="BL272" s="354"/>
      <c r="BM272" s="352"/>
      <c r="BN272" s="352"/>
      <c r="BO272" s="354"/>
      <c r="BP272" s="354"/>
      <c r="BQ272" s="354"/>
      <c r="BR272" s="354"/>
      <c r="BS272" s="354"/>
      <c r="BT272" s="354"/>
      <c r="BU272" s="354"/>
      <c r="BV272" s="354"/>
      <c r="BW272" s="354"/>
      <c r="BX272" s="354"/>
      <c r="BY272" s="354"/>
      <c r="BZ272" s="354"/>
      <c r="CA272" s="354"/>
    </row>
    <row r="275" spans="1:79" s="391" customFormat="1" x14ac:dyDescent="0.3">
      <c r="A275" s="352"/>
      <c r="B275" s="352"/>
      <c r="C275" s="354"/>
      <c r="D275" s="354"/>
      <c r="E275" s="354"/>
      <c r="F275" s="354"/>
      <c r="G275" s="354"/>
      <c r="H275" s="354"/>
      <c r="I275" s="354"/>
      <c r="J275" s="354"/>
      <c r="K275" s="354"/>
      <c r="L275" s="354"/>
      <c r="M275" s="354"/>
      <c r="N275" s="354"/>
      <c r="O275" s="354"/>
      <c r="P275" s="354"/>
      <c r="Q275" s="352"/>
      <c r="R275" s="352"/>
      <c r="S275" s="354"/>
      <c r="T275" s="354"/>
      <c r="U275" s="354"/>
      <c r="V275" s="354"/>
      <c r="W275" s="354"/>
      <c r="X275" s="354"/>
      <c r="Y275" s="354"/>
      <c r="Z275" s="354"/>
      <c r="AA275" s="354"/>
      <c r="AB275" s="354"/>
      <c r="AC275" s="354"/>
      <c r="AD275" s="354"/>
      <c r="AE275" s="354"/>
      <c r="AF275" s="354"/>
      <c r="AG275" s="352"/>
      <c r="AH275" s="352"/>
      <c r="AI275" s="354"/>
      <c r="AJ275" s="354"/>
      <c r="AK275" s="354"/>
      <c r="AL275" s="354"/>
      <c r="AM275" s="354"/>
      <c r="AN275" s="354"/>
      <c r="AO275" s="354"/>
      <c r="AP275" s="354"/>
      <c r="AQ275" s="354"/>
      <c r="AR275" s="354"/>
      <c r="AS275" s="354"/>
      <c r="AT275" s="354"/>
      <c r="AU275" s="354"/>
      <c r="AV275" s="354"/>
      <c r="AW275" s="352"/>
      <c r="AX275" s="352"/>
      <c r="AY275" s="354"/>
      <c r="AZ275" s="354"/>
      <c r="BA275" s="354"/>
      <c r="BB275" s="354"/>
      <c r="BC275" s="354"/>
      <c r="BD275" s="354"/>
      <c r="BE275" s="354"/>
      <c r="BF275" s="354"/>
      <c r="BG275" s="354"/>
      <c r="BH275" s="354"/>
      <c r="BI275" s="354"/>
      <c r="BJ275" s="354"/>
      <c r="BK275" s="354"/>
      <c r="BL275" s="354"/>
      <c r="BM275" s="352"/>
      <c r="BN275" s="352"/>
      <c r="BO275" s="354"/>
      <c r="BP275" s="354"/>
      <c r="BQ275" s="354"/>
      <c r="BR275" s="354"/>
      <c r="BS275" s="354"/>
      <c r="BT275" s="354"/>
      <c r="BU275" s="354"/>
      <c r="BV275" s="354"/>
      <c r="BW275" s="354"/>
      <c r="BX275" s="354"/>
      <c r="BY275" s="354"/>
      <c r="BZ275" s="354"/>
      <c r="CA275" s="354"/>
    </row>
    <row r="278" spans="1:79" ht="31.65" customHeight="1" x14ac:dyDescent="0.3"/>
    <row r="279" spans="1:79" ht="54.9" customHeight="1" x14ac:dyDescent="0.3"/>
    <row r="280" spans="1:79" ht="20.25" customHeight="1" x14ac:dyDescent="0.3"/>
    <row r="281" spans="1:79" ht="20.25" customHeight="1" x14ac:dyDescent="0.3"/>
    <row r="282" spans="1:79" s="364" customFormat="1" x14ac:dyDescent="0.3">
      <c r="A282" s="352"/>
      <c r="B282" s="352"/>
      <c r="C282" s="354"/>
      <c r="D282" s="354"/>
      <c r="E282" s="354"/>
      <c r="F282" s="354"/>
      <c r="G282" s="354"/>
      <c r="H282" s="354"/>
      <c r="I282" s="354"/>
      <c r="J282" s="354"/>
      <c r="K282" s="354"/>
      <c r="L282" s="354"/>
      <c r="M282" s="354"/>
      <c r="N282" s="354"/>
      <c r="O282" s="354"/>
      <c r="P282" s="354"/>
      <c r="Q282" s="352"/>
      <c r="R282" s="352"/>
      <c r="S282" s="354"/>
      <c r="T282" s="354"/>
      <c r="U282" s="354"/>
      <c r="V282" s="354"/>
      <c r="W282" s="354"/>
      <c r="X282" s="354"/>
      <c r="Y282" s="354"/>
      <c r="Z282" s="354"/>
      <c r="AA282" s="354"/>
      <c r="AB282" s="354"/>
      <c r="AC282" s="354"/>
      <c r="AD282" s="354"/>
      <c r="AE282" s="354"/>
      <c r="AF282" s="354"/>
      <c r="AG282" s="352"/>
      <c r="AH282" s="352"/>
      <c r="AI282" s="354"/>
      <c r="AJ282" s="354"/>
      <c r="AK282" s="354"/>
      <c r="AL282" s="354"/>
      <c r="AM282" s="354"/>
      <c r="AN282" s="354"/>
      <c r="AO282" s="354"/>
      <c r="AP282" s="354"/>
      <c r="AQ282" s="354"/>
      <c r="AR282" s="354"/>
      <c r="AS282" s="354"/>
      <c r="AT282" s="354"/>
      <c r="AU282" s="354"/>
      <c r="AV282" s="354"/>
      <c r="AW282" s="352"/>
      <c r="AX282" s="352"/>
      <c r="AY282" s="354"/>
      <c r="AZ282" s="354"/>
      <c r="BA282" s="354"/>
      <c r="BB282" s="354"/>
      <c r="BC282" s="354"/>
      <c r="BD282" s="354"/>
      <c r="BE282" s="354"/>
      <c r="BF282" s="354"/>
      <c r="BG282" s="354"/>
      <c r="BH282" s="354"/>
      <c r="BI282" s="354"/>
      <c r="BJ282" s="354"/>
      <c r="BK282" s="354"/>
      <c r="BL282" s="354"/>
      <c r="BM282" s="352"/>
      <c r="BN282" s="352"/>
      <c r="BO282" s="354"/>
      <c r="BP282" s="354"/>
      <c r="BQ282" s="354"/>
      <c r="BR282" s="354"/>
      <c r="BS282" s="354"/>
      <c r="BT282" s="354"/>
      <c r="BU282" s="354"/>
      <c r="BV282" s="354"/>
      <c r="BW282" s="354"/>
      <c r="BX282" s="354"/>
      <c r="BY282" s="354"/>
      <c r="BZ282" s="354"/>
      <c r="CA282" s="354"/>
    </row>
    <row r="284" spans="1:79" s="364" customFormat="1" x14ac:dyDescent="0.3">
      <c r="A284" s="352"/>
      <c r="B284" s="352"/>
      <c r="C284" s="354"/>
      <c r="D284" s="354"/>
      <c r="E284" s="354"/>
      <c r="F284" s="354"/>
      <c r="G284" s="354"/>
      <c r="H284" s="354"/>
      <c r="I284" s="354"/>
      <c r="J284" s="354"/>
      <c r="K284" s="354"/>
      <c r="L284" s="354"/>
      <c r="M284" s="354"/>
      <c r="N284" s="354"/>
      <c r="O284" s="354"/>
      <c r="P284" s="354"/>
      <c r="Q284" s="352"/>
      <c r="R284" s="352"/>
      <c r="S284" s="354"/>
      <c r="T284" s="354"/>
      <c r="U284" s="354"/>
      <c r="V284" s="354"/>
      <c r="W284" s="354"/>
      <c r="X284" s="354"/>
      <c r="Y284" s="354"/>
      <c r="Z284" s="354"/>
      <c r="AA284" s="354"/>
      <c r="AB284" s="354"/>
      <c r="AC284" s="354"/>
      <c r="AD284" s="354"/>
      <c r="AE284" s="354"/>
      <c r="AF284" s="354"/>
      <c r="AG284" s="352"/>
      <c r="AH284" s="352"/>
      <c r="AI284" s="354"/>
      <c r="AJ284" s="354"/>
      <c r="AK284" s="354"/>
      <c r="AL284" s="354"/>
      <c r="AM284" s="354"/>
      <c r="AN284" s="354"/>
      <c r="AO284" s="354"/>
      <c r="AP284" s="354"/>
      <c r="AQ284" s="354"/>
      <c r="AR284" s="354"/>
      <c r="AS284" s="354"/>
      <c r="AT284" s="354"/>
      <c r="AU284" s="354"/>
      <c r="AV284" s="354"/>
      <c r="AW284" s="352"/>
      <c r="AX284" s="352"/>
      <c r="AY284" s="354"/>
      <c r="AZ284" s="354"/>
      <c r="BA284" s="354"/>
      <c r="BB284" s="354"/>
      <c r="BC284" s="354"/>
      <c r="BD284" s="354"/>
      <c r="BE284" s="354"/>
      <c r="BF284" s="354"/>
      <c r="BG284" s="354"/>
      <c r="BH284" s="354"/>
      <c r="BI284" s="354"/>
      <c r="BJ284" s="354"/>
      <c r="BK284" s="354"/>
      <c r="BL284" s="354"/>
      <c r="BM284" s="352"/>
      <c r="BN284" s="352"/>
      <c r="BO284" s="354"/>
      <c r="BP284" s="354"/>
      <c r="BQ284" s="354"/>
      <c r="BR284" s="354"/>
      <c r="BS284" s="354"/>
      <c r="BT284" s="354"/>
      <c r="BU284" s="354"/>
      <c r="BV284" s="354"/>
      <c r="BW284" s="354"/>
      <c r="BX284" s="354"/>
      <c r="BY284" s="354"/>
      <c r="BZ284" s="354"/>
      <c r="CA284" s="354"/>
    </row>
    <row r="287" spans="1:79" s="391" customFormat="1" x14ac:dyDescent="0.3">
      <c r="A287" s="352"/>
      <c r="B287" s="352"/>
      <c r="C287" s="354"/>
      <c r="D287" s="354"/>
      <c r="E287" s="354"/>
      <c r="F287" s="354"/>
      <c r="G287" s="354"/>
      <c r="H287" s="354"/>
      <c r="I287" s="354"/>
      <c r="J287" s="354"/>
      <c r="K287" s="354"/>
      <c r="L287" s="354"/>
      <c r="M287" s="354"/>
      <c r="N287" s="354"/>
      <c r="O287" s="354"/>
      <c r="P287" s="354"/>
      <c r="Q287" s="352"/>
      <c r="R287" s="352"/>
      <c r="S287" s="354"/>
      <c r="T287" s="354"/>
      <c r="U287" s="354"/>
      <c r="V287" s="354"/>
      <c r="W287" s="354"/>
      <c r="X287" s="354"/>
      <c r="Y287" s="354"/>
      <c r="Z287" s="354"/>
      <c r="AA287" s="354"/>
      <c r="AB287" s="354"/>
      <c r="AC287" s="354"/>
      <c r="AD287" s="354"/>
      <c r="AE287" s="354"/>
      <c r="AF287" s="354"/>
      <c r="AG287" s="352"/>
      <c r="AH287" s="352"/>
      <c r="AI287" s="354"/>
      <c r="AJ287" s="354"/>
      <c r="AK287" s="354"/>
      <c r="AL287" s="354"/>
      <c r="AM287" s="354"/>
      <c r="AN287" s="354"/>
      <c r="AO287" s="354"/>
      <c r="AP287" s="354"/>
      <c r="AQ287" s="354"/>
      <c r="AR287" s="354"/>
      <c r="AS287" s="354"/>
      <c r="AT287" s="354"/>
      <c r="AU287" s="354"/>
      <c r="AV287" s="354"/>
      <c r="AW287" s="352"/>
      <c r="AX287" s="352"/>
      <c r="AY287" s="354"/>
      <c r="AZ287" s="354"/>
      <c r="BA287" s="354"/>
      <c r="BB287" s="354"/>
      <c r="BC287" s="354"/>
      <c r="BD287" s="354"/>
      <c r="BE287" s="354"/>
      <c r="BF287" s="354"/>
      <c r="BG287" s="354"/>
      <c r="BH287" s="354"/>
      <c r="BI287" s="354"/>
      <c r="BJ287" s="354"/>
      <c r="BK287" s="354"/>
      <c r="BL287" s="354"/>
      <c r="BM287" s="352"/>
      <c r="BN287" s="352"/>
      <c r="BO287" s="354"/>
      <c r="BP287" s="354"/>
      <c r="BQ287" s="354"/>
      <c r="BR287" s="354"/>
      <c r="BS287" s="354"/>
      <c r="BT287" s="354"/>
      <c r="BU287" s="354"/>
      <c r="BV287" s="354"/>
      <c r="BW287" s="354"/>
      <c r="BX287" s="354"/>
      <c r="BY287" s="354"/>
      <c r="BZ287" s="354"/>
      <c r="CA287" s="354"/>
    </row>
    <row r="291" spans="1:79" ht="54.9" customHeight="1" x14ac:dyDescent="0.3"/>
    <row r="292" spans="1:79" ht="20.25" customHeight="1" x14ac:dyDescent="0.3"/>
    <row r="293" spans="1:79" ht="20.25" customHeight="1" x14ac:dyDescent="0.3"/>
    <row r="294" spans="1:79" s="364" customFormat="1" x14ac:dyDescent="0.3">
      <c r="A294" s="352"/>
      <c r="B294" s="352"/>
      <c r="C294" s="354"/>
      <c r="D294" s="354"/>
      <c r="E294" s="354"/>
      <c r="F294" s="354"/>
      <c r="G294" s="354"/>
      <c r="H294" s="354"/>
      <c r="I294" s="354"/>
      <c r="J294" s="354"/>
      <c r="K294" s="354"/>
      <c r="L294" s="354"/>
      <c r="M294" s="354"/>
      <c r="N294" s="354"/>
      <c r="O294" s="354"/>
      <c r="P294" s="354"/>
      <c r="Q294" s="352"/>
      <c r="R294" s="352"/>
      <c r="S294" s="354"/>
      <c r="T294" s="354"/>
      <c r="U294" s="354"/>
      <c r="V294" s="354"/>
      <c r="W294" s="354"/>
      <c r="X294" s="354"/>
      <c r="Y294" s="354"/>
      <c r="Z294" s="354"/>
      <c r="AA294" s="354"/>
      <c r="AB294" s="354"/>
      <c r="AC294" s="354"/>
      <c r="AD294" s="354"/>
      <c r="AE294" s="354"/>
      <c r="AF294" s="354"/>
      <c r="AG294" s="352"/>
      <c r="AH294" s="352"/>
      <c r="AI294" s="354"/>
      <c r="AJ294" s="354"/>
      <c r="AK294" s="354"/>
      <c r="AL294" s="354"/>
      <c r="AM294" s="354"/>
      <c r="AN294" s="354"/>
      <c r="AO294" s="354"/>
      <c r="AP294" s="354"/>
      <c r="AQ294" s="354"/>
      <c r="AR294" s="354"/>
      <c r="AS294" s="354"/>
      <c r="AT294" s="354"/>
      <c r="AU294" s="354"/>
      <c r="AV294" s="354"/>
      <c r="AW294" s="352"/>
      <c r="AX294" s="352"/>
      <c r="AY294" s="354"/>
      <c r="AZ294" s="354"/>
      <c r="BA294" s="354"/>
      <c r="BB294" s="354"/>
      <c r="BC294" s="354"/>
      <c r="BD294" s="354"/>
      <c r="BE294" s="354"/>
      <c r="BF294" s="354"/>
      <c r="BG294" s="354"/>
      <c r="BH294" s="354"/>
      <c r="BI294" s="354"/>
      <c r="BJ294" s="354"/>
      <c r="BK294" s="354"/>
      <c r="BL294" s="354"/>
      <c r="BM294" s="352"/>
      <c r="BN294" s="352"/>
      <c r="BO294" s="354"/>
      <c r="BP294" s="354"/>
      <c r="BQ294" s="354"/>
      <c r="BR294" s="354"/>
      <c r="BS294" s="354"/>
      <c r="BT294" s="354"/>
      <c r="BU294" s="354"/>
      <c r="BV294" s="354"/>
      <c r="BW294" s="354"/>
      <c r="BX294" s="354"/>
      <c r="BY294" s="354"/>
      <c r="BZ294" s="354"/>
      <c r="CA294" s="354"/>
    </row>
    <row r="295" spans="1:79" s="364" customFormat="1" x14ac:dyDescent="0.3">
      <c r="A295" s="352"/>
      <c r="B295" s="352"/>
      <c r="C295" s="354"/>
      <c r="D295" s="354"/>
      <c r="E295" s="354"/>
      <c r="F295" s="354"/>
      <c r="G295" s="354"/>
      <c r="H295" s="354"/>
      <c r="I295" s="354"/>
      <c r="J295" s="354"/>
      <c r="K295" s="354"/>
      <c r="L295" s="354"/>
      <c r="M295" s="354"/>
      <c r="N295" s="354"/>
      <c r="O295" s="354"/>
      <c r="P295" s="354"/>
      <c r="Q295" s="352"/>
      <c r="R295" s="352"/>
      <c r="S295" s="354"/>
      <c r="T295" s="354"/>
      <c r="U295" s="354"/>
      <c r="V295" s="354"/>
      <c r="W295" s="354"/>
      <c r="X295" s="354"/>
      <c r="Y295" s="354"/>
      <c r="Z295" s="354"/>
      <c r="AA295" s="354"/>
      <c r="AB295" s="354"/>
      <c r="AC295" s="354"/>
      <c r="AD295" s="354"/>
      <c r="AE295" s="354"/>
      <c r="AF295" s="354"/>
      <c r="AG295" s="352"/>
      <c r="AH295" s="352"/>
      <c r="AI295" s="354"/>
      <c r="AJ295" s="354"/>
      <c r="AK295" s="354"/>
      <c r="AL295" s="354"/>
      <c r="AM295" s="354"/>
      <c r="AN295" s="354"/>
      <c r="AO295" s="354"/>
      <c r="AP295" s="354"/>
      <c r="AQ295" s="354"/>
      <c r="AR295" s="354"/>
      <c r="AS295" s="354"/>
      <c r="AT295" s="354"/>
      <c r="AU295" s="354"/>
      <c r="AV295" s="354"/>
      <c r="AW295" s="352"/>
      <c r="AX295" s="352"/>
      <c r="AY295" s="354"/>
      <c r="AZ295" s="354"/>
      <c r="BA295" s="354"/>
      <c r="BB295" s="354"/>
      <c r="BC295" s="354"/>
      <c r="BD295" s="354"/>
      <c r="BE295" s="354"/>
      <c r="BF295" s="354"/>
      <c r="BG295" s="354"/>
      <c r="BH295" s="354"/>
      <c r="BI295" s="354"/>
      <c r="BJ295" s="354"/>
      <c r="BK295" s="354"/>
      <c r="BL295" s="354"/>
      <c r="BM295" s="352"/>
      <c r="BN295" s="352"/>
      <c r="BO295" s="354"/>
      <c r="BP295" s="354"/>
      <c r="BQ295" s="354"/>
      <c r="BR295" s="354"/>
      <c r="BS295" s="354"/>
      <c r="BT295" s="354"/>
      <c r="BU295" s="354"/>
      <c r="BV295" s="354"/>
      <c r="BW295" s="354"/>
      <c r="BX295" s="354"/>
      <c r="BY295" s="354"/>
      <c r="BZ295" s="354"/>
      <c r="CA295" s="354"/>
    </row>
    <row r="296" spans="1:79" s="364" customFormat="1" x14ac:dyDescent="0.3">
      <c r="A296" s="352"/>
      <c r="B296" s="352"/>
      <c r="C296" s="354"/>
      <c r="D296" s="354"/>
      <c r="E296" s="354"/>
      <c r="F296" s="354"/>
      <c r="G296" s="354"/>
      <c r="H296" s="354"/>
      <c r="I296" s="354"/>
      <c r="J296" s="354"/>
      <c r="K296" s="354"/>
      <c r="L296" s="354"/>
      <c r="M296" s="354"/>
      <c r="N296" s="354"/>
      <c r="O296" s="354"/>
      <c r="P296" s="354"/>
      <c r="Q296" s="352"/>
      <c r="R296" s="352"/>
      <c r="S296" s="354"/>
      <c r="T296" s="354"/>
      <c r="U296" s="354"/>
      <c r="V296" s="354"/>
      <c r="W296" s="354"/>
      <c r="X296" s="354"/>
      <c r="Y296" s="354"/>
      <c r="Z296" s="354"/>
      <c r="AA296" s="354"/>
      <c r="AB296" s="354"/>
      <c r="AC296" s="354"/>
      <c r="AD296" s="354"/>
      <c r="AE296" s="354"/>
      <c r="AF296" s="354"/>
      <c r="AG296" s="352"/>
      <c r="AH296" s="352"/>
      <c r="AI296" s="354"/>
      <c r="AJ296" s="354"/>
      <c r="AK296" s="354"/>
      <c r="AL296" s="354"/>
      <c r="AM296" s="354"/>
      <c r="AN296" s="354"/>
      <c r="AO296" s="354"/>
      <c r="AP296" s="354"/>
      <c r="AQ296" s="354"/>
      <c r="AR296" s="354"/>
      <c r="AS296" s="354"/>
      <c r="AT296" s="354"/>
      <c r="AU296" s="354"/>
      <c r="AV296" s="354"/>
      <c r="AW296" s="352"/>
      <c r="AX296" s="352"/>
      <c r="AY296" s="354"/>
      <c r="AZ296" s="354"/>
      <c r="BA296" s="354"/>
      <c r="BB296" s="354"/>
      <c r="BC296" s="354"/>
      <c r="BD296" s="354"/>
      <c r="BE296" s="354"/>
      <c r="BF296" s="354"/>
      <c r="BG296" s="354"/>
      <c r="BH296" s="354"/>
      <c r="BI296" s="354"/>
      <c r="BJ296" s="354"/>
      <c r="BK296" s="354"/>
      <c r="BL296" s="354"/>
      <c r="BM296" s="352"/>
      <c r="BN296" s="352"/>
      <c r="BO296" s="354"/>
      <c r="BP296" s="354"/>
      <c r="BQ296" s="354"/>
      <c r="BR296" s="354"/>
      <c r="BS296" s="354"/>
      <c r="BT296" s="354"/>
      <c r="BU296" s="354"/>
      <c r="BV296" s="354"/>
      <c r="BW296" s="354"/>
      <c r="BX296" s="354"/>
      <c r="BY296" s="354"/>
      <c r="BZ296" s="354"/>
      <c r="CA296" s="354"/>
    </row>
    <row r="299" spans="1:79" s="391" customFormat="1" x14ac:dyDescent="0.3">
      <c r="A299" s="352"/>
      <c r="B299" s="352"/>
      <c r="C299" s="354"/>
      <c r="D299" s="354"/>
      <c r="E299" s="354"/>
      <c r="F299" s="354"/>
      <c r="G299" s="354"/>
      <c r="H299" s="354"/>
      <c r="I299" s="354"/>
      <c r="J299" s="354"/>
      <c r="K299" s="354"/>
      <c r="L299" s="354"/>
      <c r="M299" s="354"/>
      <c r="N299" s="354"/>
      <c r="O299" s="354"/>
      <c r="P299" s="354"/>
      <c r="Q299" s="352"/>
      <c r="R299" s="352"/>
      <c r="S299" s="354"/>
      <c r="T299" s="354"/>
      <c r="U299" s="354"/>
      <c r="V299" s="354"/>
      <c r="W299" s="354"/>
      <c r="X299" s="354"/>
      <c r="Y299" s="354"/>
      <c r="Z299" s="354"/>
      <c r="AA299" s="354"/>
      <c r="AB299" s="354"/>
      <c r="AC299" s="354"/>
      <c r="AD299" s="354"/>
      <c r="AE299" s="354"/>
      <c r="AF299" s="354"/>
      <c r="AG299" s="352"/>
      <c r="AH299" s="352"/>
      <c r="AI299" s="354"/>
      <c r="AJ299" s="354"/>
      <c r="AK299" s="354"/>
      <c r="AL299" s="354"/>
      <c r="AM299" s="354"/>
      <c r="AN299" s="354"/>
      <c r="AO299" s="354"/>
      <c r="AP299" s="354"/>
      <c r="AQ299" s="354"/>
      <c r="AR299" s="354"/>
      <c r="AS299" s="354"/>
      <c r="AT299" s="354"/>
      <c r="AU299" s="354"/>
      <c r="AV299" s="354"/>
      <c r="AW299" s="352"/>
      <c r="AX299" s="352"/>
      <c r="AY299" s="354"/>
      <c r="AZ299" s="354"/>
      <c r="BA299" s="354"/>
      <c r="BB299" s="354"/>
      <c r="BC299" s="354"/>
      <c r="BD299" s="354"/>
      <c r="BE299" s="354"/>
      <c r="BF299" s="354"/>
      <c r="BG299" s="354"/>
      <c r="BH299" s="354"/>
      <c r="BI299" s="354"/>
      <c r="BJ299" s="354"/>
      <c r="BK299" s="354"/>
      <c r="BL299" s="354"/>
      <c r="BM299" s="352"/>
      <c r="BN299" s="352"/>
      <c r="BO299" s="354"/>
      <c r="BP299" s="354"/>
      <c r="BQ299" s="354"/>
      <c r="BR299" s="354"/>
      <c r="BS299" s="354"/>
      <c r="BT299" s="354"/>
      <c r="BU299" s="354"/>
      <c r="BV299" s="354"/>
      <c r="BW299" s="354"/>
      <c r="BX299" s="354"/>
      <c r="BY299" s="354"/>
      <c r="BZ299" s="354"/>
      <c r="CA299" s="354"/>
    </row>
    <row r="303" spans="1:79" ht="27.9" customHeight="1" x14ac:dyDescent="0.3"/>
  </sheetData>
  <mergeCells count="355"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K54:O54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K42:O42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K30:O30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K18:O18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K6:O6"/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</mergeCells>
  <pageMargins left="0.35" right="0.5" top="0.5" bottom="0.25" header="0.5" footer="0.25"/>
  <pageSetup scale="5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E954-AABD-45E4-AF73-04A9E4CD3167}">
  <dimension ref="A1:AI57"/>
  <sheetViews>
    <sheetView showGridLines="0" view="pageBreakPreview" zoomScaleNormal="100" zoomScaleSheetLayoutView="100" workbookViewId="0">
      <selection activeCell="N4" sqref="N4"/>
    </sheetView>
  </sheetViews>
  <sheetFormatPr defaultColWidth="8.88671875" defaultRowHeight="13.2" x14ac:dyDescent="0.25"/>
  <cols>
    <col min="1" max="1" width="8.88671875" style="354"/>
    <col min="2" max="2" width="9.5546875" style="449" customWidth="1"/>
    <col min="3" max="3" width="16" style="354" customWidth="1"/>
    <col min="4" max="4" width="3.109375" style="358" customWidth="1"/>
    <col min="5" max="5" width="8" style="354" customWidth="1"/>
    <col min="6" max="6" width="7" style="450" customWidth="1"/>
    <col min="7" max="7" width="2.109375" style="354" customWidth="1"/>
    <col min="8" max="8" width="7.109375" style="451" customWidth="1"/>
    <col min="9" max="9" width="3.44140625" style="354" customWidth="1"/>
    <col min="10" max="10" width="5.109375" style="354" customWidth="1"/>
    <col min="11" max="11" width="6.5546875" style="354" customWidth="1"/>
    <col min="12" max="12" width="7.6640625" style="354" customWidth="1"/>
    <col min="13" max="13" width="28.5546875" style="354" customWidth="1"/>
    <col min="14" max="14" width="29.109375" style="354" customWidth="1"/>
    <col min="15" max="15" width="5.109375" style="354" customWidth="1"/>
    <col min="16" max="16" width="6.6640625" style="354" customWidth="1"/>
    <col min="17" max="17" width="7.5546875" style="354" customWidth="1"/>
    <col min="18" max="16384" width="8.88671875" style="354"/>
  </cols>
  <sheetData>
    <row r="1" spans="1:17" ht="7.5" customHeight="1" x14ac:dyDescent="0.25"/>
    <row r="2" spans="1:17" ht="24.6" x14ac:dyDescent="0.4">
      <c r="J2" s="452" t="s">
        <v>86</v>
      </c>
      <c r="O2" s="42" t="s">
        <v>2629</v>
      </c>
      <c r="P2" s="603">
        <f>Worksheet!$AA$2</f>
        <v>33303</v>
      </c>
      <c r="Q2" s="604"/>
    </row>
    <row r="3" spans="1:17" ht="12" customHeight="1" x14ac:dyDescent="0.3">
      <c r="B3" s="453"/>
      <c r="K3" s="454"/>
      <c r="N3" s="455">
        <f ca="1">TODAY()</f>
        <v>45653</v>
      </c>
      <c r="O3" s="456"/>
    </row>
    <row r="4" spans="1:17" ht="12" customHeight="1" thickBot="1" x14ac:dyDescent="0.3">
      <c r="D4" s="457"/>
      <c r="N4" s="231"/>
      <c r="O4" s="232"/>
      <c r="P4" s="231"/>
      <c r="Q4" s="231"/>
    </row>
    <row r="5" spans="1:17" ht="13.5" customHeight="1" thickBot="1" x14ac:dyDescent="0.3">
      <c r="B5" s="458"/>
      <c r="C5" s="459"/>
      <c r="D5" s="460"/>
      <c r="E5" s="460"/>
      <c r="F5" s="461"/>
      <c r="G5" s="461"/>
      <c r="H5" s="354"/>
      <c r="I5" s="458" t="s">
        <v>1</v>
      </c>
      <c r="J5" s="462" t="str">
        <f>IF(Worksheet!J5&gt;0,Worksheet!J5," ")</f>
        <v>Cottonwood Creek WO#I5187109-00104</v>
      </c>
      <c r="K5" s="463"/>
      <c r="L5" s="463"/>
      <c r="M5" s="464"/>
      <c r="N5" s="465" t="s">
        <v>2544</v>
      </c>
      <c r="O5" s="466">
        <f>Worksheet!O5</f>
        <v>1</v>
      </c>
      <c r="P5" s="234"/>
      <c r="Q5" s="235"/>
    </row>
    <row r="6" spans="1:17" ht="13.5" customHeight="1" x14ac:dyDescent="0.25">
      <c r="B6" s="354"/>
      <c r="C6" s="467" t="s">
        <v>2630</v>
      </c>
      <c r="D6" s="468"/>
      <c r="E6" s="468"/>
      <c r="F6" s="461"/>
      <c r="G6" s="461"/>
      <c r="H6" s="354"/>
      <c r="K6" s="468"/>
      <c r="L6" s="468"/>
      <c r="M6" s="468"/>
      <c r="N6" s="234"/>
      <c r="O6" s="469"/>
      <c r="P6" s="469"/>
      <c r="Q6" s="468"/>
    </row>
    <row r="7" spans="1:17" ht="13.5" customHeight="1" x14ac:dyDescent="0.3">
      <c r="B7" s="354"/>
      <c r="C7" s="461"/>
      <c r="D7" s="461"/>
      <c r="E7" s="461"/>
      <c r="F7" s="461"/>
      <c r="G7" s="461"/>
      <c r="H7" s="354"/>
      <c r="J7" s="470"/>
      <c r="K7" s="468"/>
      <c r="L7" s="468"/>
      <c r="N7" s="303" t="s">
        <v>2589</v>
      </c>
      <c r="O7" s="605" t="str">
        <f>IF(Worksheet!$O$7&gt;0,Worksheet!$O$7," ")</f>
        <v xml:space="preserve"> </v>
      </c>
      <c r="P7" s="606"/>
      <c r="Q7" s="468"/>
    </row>
    <row r="8" spans="1:17" ht="13.5" customHeight="1" x14ac:dyDescent="0.25">
      <c r="B8" s="458"/>
      <c r="C8" s="460"/>
      <c r="D8" s="460"/>
      <c r="E8" s="460"/>
      <c r="F8" s="468"/>
      <c r="G8" s="468"/>
      <c r="H8" s="458"/>
      <c r="I8" s="458"/>
      <c r="J8" s="607" t="s">
        <v>2631</v>
      </c>
      <c r="K8" s="607"/>
      <c r="L8" s="607"/>
      <c r="M8" s="607"/>
      <c r="N8" s="234"/>
      <c r="O8" s="469"/>
      <c r="P8" s="469"/>
      <c r="Q8" s="468"/>
    </row>
    <row r="9" spans="1:17" ht="13.5" customHeight="1" x14ac:dyDescent="0.25">
      <c r="B9" s="458"/>
      <c r="C9" s="467" t="s">
        <v>2632</v>
      </c>
      <c r="D9" s="461"/>
      <c r="E9" s="461"/>
      <c r="F9" s="461"/>
      <c r="G9" s="461"/>
      <c r="H9" s="458"/>
      <c r="I9" s="458"/>
      <c r="J9" s="607"/>
      <c r="K9" s="607"/>
      <c r="L9" s="607"/>
      <c r="M9" s="607"/>
      <c r="N9" s="234"/>
      <c r="O9" s="234">
        <v>1</v>
      </c>
      <c r="P9" s="234"/>
      <c r="Q9" s="235"/>
    </row>
    <row r="10" spans="1:17" ht="13.5" customHeight="1" x14ac:dyDescent="0.25">
      <c r="B10" s="458"/>
      <c r="D10" s="608" t="s">
        <v>2633</v>
      </c>
      <c r="F10" s="461"/>
      <c r="G10" s="461"/>
      <c r="H10" s="458"/>
      <c r="I10" s="458"/>
      <c r="J10" s="607"/>
      <c r="K10" s="607"/>
      <c r="L10" s="607"/>
      <c r="M10" s="607"/>
      <c r="N10" s="234"/>
      <c r="O10" s="469"/>
      <c r="P10" s="469"/>
      <c r="Q10" s="468"/>
    </row>
    <row r="11" spans="1:17" ht="13.5" customHeight="1" x14ac:dyDescent="0.25">
      <c r="B11" s="458"/>
      <c r="D11" s="608"/>
      <c r="F11" s="461"/>
      <c r="G11" s="461"/>
      <c r="H11" s="458"/>
      <c r="I11" s="458"/>
      <c r="J11" s="468"/>
      <c r="K11" s="468"/>
      <c r="L11" s="468"/>
      <c r="M11" s="468"/>
      <c r="N11" s="234"/>
      <c r="O11" s="469"/>
      <c r="P11" s="469"/>
      <c r="Q11" s="468"/>
    </row>
    <row r="12" spans="1:17" ht="13.5" customHeight="1" x14ac:dyDescent="0.25">
      <c r="B12" s="458"/>
      <c r="C12" s="446"/>
      <c r="D12" s="608"/>
      <c r="E12" s="461"/>
      <c r="F12" s="461"/>
      <c r="G12" s="461"/>
      <c r="H12" s="458"/>
      <c r="I12" s="458"/>
      <c r="J12" s="468"/>
      <c r="K12" s="468"/>
      <c r="L12" s="468"/>
      <c r="M12" s="468"/>
      <c r="N12" s="469"/>
      <c r="O12" s="237" t="b">
        <v>0</v>
      </c>
      <c r="P12" s="237"/>
      <c r="Q12" s="238"/>
    </row>
    <row r="13" spans="1:17" ht="12.75" customHeight="1" x14ac:dyDescent="0.25">
      <c r="D13" s="608"/>
      <c r="N13" s="471"/>
      <c r="O13" s="472"/>
      <c r="P13" s="472"/>
      <c r="Q13" s="473" t="s">
        <v>2590</v>
      </c>
    </row>
    <row r="14" spans="1:17" ht="12.75" customHeight="1" x14ac:dyDescent="0.25">
      <c r="D14" s="608"/>
      <c r="I14" s="356" t="s">
        <v>76</v>
      </c>
      <c r="J14" s="356" t="s">
        <v>13</v>
      </c>
      <c r="K14" s="356" t="s">
        <v>80</v>
      </c>
      <c r="L14" s="356" t="s">
        <v>16</v>
      </c>
      <c r="M14" s="356" t="s">
        <v>18</v>
      </c>
      <c r="O14" s="474"/>
      <c r="P14" s="473" t="s">
        <v>205</v>
      </c>
      <c r="Q14" s="473" t="s">
        <v>250</v>
      </c>
    </row>
    <row r="15" spans="1:17" ht="13.65" customHeight="1" x14ac:dyDescent="0.3">
      <c r="C15" s="356" t="s">
        <v>2</v>
      </c>
      <c r="D15" s="609"/>
      <c r="E15" s="475" t="s">
        <v>2511</v>
      </c>
      <c r="F15" s="476" t="s">
        <v>3</v>
      </c>
      <c r="G15" s="477"/>
      <c r="H15" s="478"/>
      <c r="I15" s="356" t="s">
        <v>77</v>
      </c>
      <c r="J15" s="356" t="s">
        <v>14</v>
      </c>
      <c r="K15" s="356" t="s">
        <v>15</v>
      </c>
      <c r="L15" s="356" t="s">
        <v>15</v>
      </c>
      <c r="M15" s="356" t="s">
        <v>17</v>
      </c>
      <c r="N15" s="356" t="s">
        <v>249</v>
      </c>
      <c r="O15" s="479" t="s">
        <v>248</v>
      </c>
      <c r="P15" s="480" t="s">
        <v>206</v>
      </c>
      <c r="Q15" s="480" t="s">
        <v>13</v>
      </c>
    </row>
    <row r="16" spans="1:17" ht="12.75" customHeight="1" x14ac:dyDescent="0.25">
      <c r="A16" s="354" t="s">
        <v>32</v>
      </c>
      <c r="B16" s="449" t="str">
        <f>HLOOKUP($O$5,'Data Sheet'!$B$2:$CM$27,2,FALSE)</f>
        <v>P1-RS1</v>
      </c>
      <c r="C16" s="481" t="str">
        <f>IF(Worksheet!C16&gt;0,Worksheet!C16," ")</f>
        <v>Chapel east</v>
      </c>
      <c r="D16" s="482"/>
      <c r="E16" s="483" t="str">
        <f>Worksheet!E16</f>
        <v>Tube 2.375</v>
      </c>
      <c r="F16" s="504">
        <f>IF(Worksheet!F16&gt;0,Worksheet!F16," ")</f>
        <v>45</v>
      </c>
      <c r="G16" s="484" t="s">
        <v>4</v>
      </c>
      <c r="H16" s="518">
        <f>IF(Worksheet!H16&gt;0,Worksheet!H16," ")</f>
        <v>135</v>
      </c>
      <c r="I16" s="481" t="str">
        <f>IF(Worksheet!I16&gt;0,Worksheet!I16," ")</f>
        <v>IB</v>
      </c>
      <c r="J16" s="481" t="str">
        <f>IF(Worksheet!J16&gt;0,Worksheet!J16," ")</f>
        <v xml:space="preserve"> </v>
      </c>
      <c r="K16" s="481" t="str">
        <f>IF(Worksheet!K16&gt;0,Worksheet!K16," ")</f>
        <v xml:space="preserve"> </v>
      </c>
      <c r="L16" s="481" t="str">
        <f>IF(Worksheet!L16&gt;0,Worksheet!L16," ")</f>
        <v>Seamed</v>
      </c>
      <c r="M16" s="481" t="str">
        <f>IF(Worksheet!M16&gt;0,Worksheet!M16," ")</f>
        <v>Panta Flex Linen</v>
      </c>
      <c r="N16" s="481" t="str">
        <f>IF(Worksheet!N16&gt;0,Worksheet!N16," ")</f>
        <v>REVERSE ROLL</v>
      </c>
      <c r="O16" s="481" t="str">
        <f>IF(Worksheet!O16&gt;0,Worksheet!O16," ")</f>
        <v>V</v>
      </c>
      <c r="P16" s="481" t="str">
        <f>IF(Worksheet!P16&gt;0,Worksheet!P16," ")</f>
        <v>CX</v>
      </c>
      <c r="Q16" s="481" t="str">
        <f>IF(Worksheet!Q16&gt;0,Worksheet!Q16," ")</f>
        <v xml:space="preserve"> </v>
      </c>
    </row>
    <row r="17" spans="1:17" ht="12.75" customHeight="1" x14ac:dyDescent="0.25">
      <c r="A17" s="354" t="s">
        <v>33</v>
      </c>
      <c r="B17" s="449" t="str">
        <f>HLOOKUP($O$5,'Data Sheet'!$B$2:$CM$27,3,FALSE)</f>
        <v>P1-RS2</v>
      </c>
      <c r="C17" s="481" t="str">
        <f>IF(Worksheet!C17&gt;0,Worksheet!C17," ")</f>
        <v>Chapel West</v>
      </c>
      <c r="D17" s="482"/>
      <c r="E17" s="483" t="str">
        <f>Worksheet!E17</f>
        <v>Tube 2.375</v>
      </c>
      <c r="F17" s="504">
        <f>IF(Worksheet!F17&gt;0,Worksheet!F17," ")</f>
        <v>45.75</v>
      </c>
      <c r="G17" s="484" t="s">
        <v>4</v>
      </c>
      <c r="H17" s="518">
        <f>IF(Worksheet!H17&gt;0,Worksheet!H17," ")</f>
        <v>103</v>
      </c>
      <c r="I17" s="481" t="str">
        <f>IF(Worksheet!I17&gt;0,Worksheet!I17," ")</f>
        <v>IB</v>
      </c>
      <c r="J17" s="481" t="str">
        <f>IF(Worksheet!J17&gt;0,Worksheet!J17," ")</f>
        <v xml:space="preserve"> </v>
      </c>
      <c r="K17" s="481" t="str">
        <f>IF(Worksheet!K17&gt;0,Worksheet!K17," ")</f>
        <v>White</v>
      </c>
      <c r="L17" s="481" t="str">
        <f>IF(Worksheet!L17&gt;0,Worksheet!L17," ")</f>
        <v>seamed</v>
      </c>
      <c r="M17" s="481" t="str">
        <f>IF(Worksheet!M17&gt;0,Worksheet!M17," ")</f>
        <v>Panta Flex Linen</v>
      </c>
      <c r="N17" s="481" t="str">
        <f>IF(Worksheet!N17&gt;0,Worksheet!N17," ")</f>
        <v xml:space="preserve"> </v>
      </c>
      <c r="O17" s="481" t="str">
        <f>IF(Worksheet!O17&gt;0,Worksheet!O17," ")</f>
        <v>V</v>
      </c>
      <c r="P17" s="481" t="str">
        <f>IF(Worksheet!P17&gt;0,Worksheet!P17," ")</f>
        <v>CX</v>
      </c>
      <c r="Q17" s="481" t="str">
        <f>IF(Worksheet!Q17&gt;0,Worksheet!Q17," ")</f>
        <v xml:space="preserve"> </v>
      </c>
    </row>
    <row r="18" spans="1:17" ht="12.75" customHeight="1" x14ac:dyDescent="0.25">
      <c r="A18" s="354" t="s">
        <v>34</v>
      </c>
      <c r="B18" s="449" t="str">
        <f>HLOOKUP($O$5,'Data Sheet'!$B$2:$CM$27,4,FALSE)</f>
        <v>P1-RS3</v>
      </c>
      <c r="C18" s="481" t="str">
        <f>IF(Worksheet!C18&gt;0,Worksheet!C18," ")</f>
        <v>Room 103</v>
      </c>
      <c r="D18" s="482"/>
      <c r="E18" s="483" t="str">
        <f>Worksheet!E18</f>
        <v>Tube 1.5</v>
      </c>
      <c r="F18" s="504">
        <f>IF(Worksheet!F18&gt;0,Worksheet!F18," ")</f>
        <v>36.5</v>
      </c>
      <c r="G18" s="484" t="s">
        <v>4</v>
      </c>
      <c r="H18" s="518">
        <f>IF(Worksheet!H18&gt;0,Worksheet!H18," ")</f>
        <v>64</v>
      </c>
      <c r="I18" s="481" t="str">
        <f>IF(Worksheet!I18&gt;0,Worksheet!I18," ")</f>
        <v>IB</v>
      </c>
      <c r="J18" s="481" t="str">
        <f>IF(Worksheet!J18&gt;0,Worksheet!J18," ")</f>
        <v xml:space="preserve"> </v>
      </c>
      <c r="K18" s="481" t="str">
        <f>IF(Worksheet!K18&gt;0,Worksheet!K18," ")</f>
        <v>White</v>
      </c>
      <c r="L18" s="481" t="str">
        <f>IF(Worksheet!L18&gt;0,Worksheet!L18," ")</f>
        <v>seamed</v>
      </c>
      <c r="M18" s="481" t="str">
        <f>IF(Worksheet!M18&gt;0,Worksheet!M18," ")</f>
        <v>Panta Flex Linen</v>
      </c>
      <c r="N18" s="481" t="str">
        <f>IF(Worksheet!N18&gt;0,Worksheet!N18," ")</f>
        <v>SAVE RODS</v>
      </c>
      <c r="O18" s="481" t="str">
        <f>IF(Worksheet!O18&gt;0,Worksheet!O18," ")</f>
        <v>V</v>
      </c>
      <c r="P18" s="481" t="str">
        <f>IF(Worksheet!P18&gt;0,Worksheet!P18," ")</f>
        <v>CX</v>
      </c>
      <c r="Q18" s="481" t="str">
        <f>IF(Worksheet!Q18&gt;0,Worksheet!Q18," ")</f>
        <v xml:space="preserve"> </v>
      </c>
    </row>
    <row r="19" spans="1:17" ht="12.75" customHeight="1" x14ac:dyDescent="0.25">
      <c r="A19" s="354" t="s">
        <v>31</v>
      </c>
      <c r="B19" s="449" t="str">
        <f>HLOOKUP($O$5,'Data Sheet'!$B$2:$CM$27,5,FALSE)</f>
        <v>P1-RS4</v>
      </c>
      <c r="C19" s="481" t="str">
        <f>IF(Worksheet!C19&gt;0,Worksheet!C19," ")</f>
        <v>Room 104</v>
      </c>
      <c r="D19" s="482"/>
      <c r="E19" s="483" t="str">
        <f>Worksheet!E19</f>
        <v>Tube 1.5</v>
      </c>
      <c r="F19" s="504">
        <f>IF(Worksheet!F19&gt;0,Worksheet!F19," ")</f>
        <v>36</v>
      </c>
      <c r="G19" s="484" t="s">
        <v>4</v>
      </c>
      <c r="H19" s="518">
        <f>IF(Worksheet!H19&gt;0,Worksheet!H19," ")</f>
        <v>64</v>
      </c>
      <c r="I19" s="481" t="str">
        <f>IF(Worksheet!I19&gt;0,Worksheet!I19," ")</f>
        <v>IB</v>
      </c>
      <c r="J19" s="481" t="str">
        <f>IF(Worksheet!J19&gt;0,Worksheet!J19," ")</f>
        <v xml:space="preserve"> </v>
      </c>
      <c r="K19" s="481" t="str">
        <f>IF(Worksheet!K19&gt;0,Worksheet!K19," ")</f>
        <v>White</v>
      </c>
      <c r="L19" s="481" t="str">
        <f>IF(Worksheet!L19&gt;0,Worksheet!L19," ")</f>
        <v>seamed</v>
      </c>
      <c r="M19" s="481" t="str">
        <f>IF(Worksheet!M19&gt;0,Worksheet!M19," ")</f>
        <v>Panta Flex Linen</v>
      </c>
      <c r="N19" s="481" t="str">
        <f>IF(Worksheet!N19&gt;0,Worksheet!N19," ")</f>
        <v>SAVE RODS</v>
      </c>
      <c r="O19" s="481" t="str">
        <f>IF(Worksheet!O19&gt;0,Worksheet!O19," ")</f>
        <v>V</v>
      </c>
      <c r="P19" s="481" t="str">
        <f>IF(Worksheet!P19&gt;0,Worksheet!P19," ")</f>
        <v>CX</v>
      </c>
      <c r="Q19" s="481" t="str">
        <f>IF(Worksheet!Q19&gt;0,Worksheet!Q19," ")</f>
        <v xml:space="preserve"> </v>
      </c>
    </row>
    <row r="20" spans="1:17" ht="12.75" customHeight="1" x14ac:dyDescent="0.25">
      <c r="A20" s="354" t="s">
        <v>35</v>
      </c>
      <c r="B20" s="449" t="str">
        <f>HLOOKUP($O$5,'Data Sheet'!$B$2:$CM$27,6,FALSE)</f>
        <v>P1-RS5</v>
      </c>
      <c r="C20" s="481" t="str">
        <f>IF(Worksheet!C20&gt;0,Worksheet!C20," ")</f>
        <v>Room 104</v>
      </c>
      <c r="D20" s="482"/>
      <c r="E20" s="483" t="str">
        <f>Worksheet!E20</f>
        <v>Tube 1.5</v>
      </c>
      <c r="F20" s="504">
        <f>IF(Worksheet!F20&gt;0,Worksheet!F20," ")</f>
        <v>35.75</v>
      </c>
      <c r="G20" s="484" t="s">
        <v>4</v>
      </c>
      <c r="H20" s="518">
        <f>IF(Worksheet!H20&gt;0,Worksheet!H20," ")</f>
        <v>64</v>
      </c>
      <c r="I20" s="481" t="str">
        <f>IF(Worksheet!I20&gt;0,Worksheet!I20," ")</f>
        <v>IB</v>
      </c>
      <c r="J20" s="481" t="str">
        <f>IF(Worksheet!J20&gt;0,Worksheet!J20," ")</f>
        <v xml:space="preserve"> </v>
      </c>
      <c r="K20" s="481" t="str">
        <f>IF(Worksheet!K20&gt;0,Worksheet!K20," ")</f>
        <v>White</v>
      </c>
      <c r="L20" s="481" t="str">
        <f>IF(Worksheet!L20&gt;0,Worksheet!L20," ")</f>
        <v>seamed</v>
      </c>
      <c r="M20" s="481" t="str">
        <f>IF(Worksheet!M20&gt;0,Worksheet!M20," ")</f>
        <v>Panta Flex Linen</v>
      </c>
      <c r="N20" s="481" t="str">
        <f>IF(Worksheet!N20&gt;0,Worksheet!N20," ")</f>
        <v>SAVE RODS</v>
      </c>
      <c r="O20" s="481" t="str">
        <f>IF(Worksheet!O20&gt;0,Worksheet!O20," ")</f>
        <v>V</v>
      </c>
      <c r="P20" s="481" t="str">
        <f>IF(Worksheet!P20&gt;0,Worksheet!P20," ")</f>
        <v>CX</v>
      </c>
      <c r="Q20" s="481" t="str">
        <f>IF(Worksheet!Q20&gt;0,Worksheet!Q20," ")</f>
        <v xml:space="preserve"> </v>
      </c>
    </row>
    <row r="21" spans="1:17" ht="12.75" customHeight="1" x14ac:dyDescent="0.25">
      <c r="A21" s="354" t="s">
        <v>36</v>
      </c>
      <c r="B21" s="449" t="str">
        <f>HLOOKUP($O$5,'Data Sheet'!$B$2:$CM$27,7,FALSE)</f>
        <v>P1-RS6</v>
      </c>
      <c r="C21" s="481" t="str">
        <f>IF(Worksheet!C21&gt;0,Worksheet!C21," ")</f>
        <v>Room 104</v>
      </c>
      <c r="D21" s="482"/>
      <c r="E21" s="483" t="str">
        <f>Worksheet!E21</f>
        <v>Tube 1.5</v>
      </c>
      <c r="F21" s="504">
        <f>IF(Worksheet!F21&gt;0,Worksheet!F21," ")</f>
        <v>36</v>
      </c>
      <c r="G21" s="484" t="s">
        <v>4</v>
      </c>
      <c r="H21" s="518">
        <f>IF(Worksheet!H21&gt;0,Worksheet!H21," ")</f>
        <v>64</v>
      </c>
      <c r="I21" s="481" t="str">
        <f>IF(Worksheet!I21&gt;0,Worksheet!I21," ")</f>
        <v>IB</v>
      </c>
      <c r="J21" s="481" t="str">
        <f>IF(Worksheet!J21&gt;0,Worksheet!J21," ")</f>
        <v xml:space="preserve"> </v>
      </c>
      <c r="K21" s="481" t="str">
        <f>IF(Worksheet!K21&gt;0,Worksheet!K21," ")</f>
        <v>White</v>
      </c>
      <c r="L21" s="481" t="str">
        <f>IF(Worksheet!L21&gt;0,Worksheet!L21," ")</f>
        <v>seamed</v>
      </c>
      <c r="M21" s="481" t="str">
        <f>IF(Worksheet!M21&gt;0,Worksheet!M21," ")</f>
        <v>Panta Flex Linen</v>
      </c>
      <c r="N21" s="481" t="str">
        <f>IF(Worksheet!N21&gt;0,Worksheet!N21," ")</f>
        <v>SAVE RODS</v>
      </c>
      <c r="O21" s="481" t="str">
        <f>IF(Worksheet!O21&gt;0,Worksheet!O21," ")</f>
        <v>V</v>
      </c>
      <c r="P21" s="481" t="str">
        <f>IF(Worksheet!P21&gt;0,Worksheet!P21," ")</f>
        <v>CX</v>
      </c>
      <c r="Q21" s="481" t="str">
        <f>IF(Worksheet!Q21&gt;0,Worksheet!Q21," ")</f>
        <v xml:space="preserve"> </v>
      </c>
    </row>
    <row r="22" spans="1:17" ht="12.75" customHeight="1" x14ac:dyDescent="0.25">
      <c r="A22" s="354" t="s">
        <v>37</v>
      </c>
      <c r="B22" s="449" t="str">
        <f>HLOOKUP($O$5,'Data Sheet'!$B$2:$CM$27,8,FALSE)</f>
        <v>P1-RS7</v>
      </c>
      <c r="C22" s="481" t="str">
        <f>IF(Worksheet!C22&gt;0,Worksheet!C22," ")</f>
        <v>Room 105</v>
      </c>
      <c r="D22" s="482"/>
      <c r="E22" s="483" t="str">
        <f>Worksheet!E22</f>
        <v>Tube 1.5</v>
      </c>
      <c r="F22" s="504">
        <f>IF(Worksheet!F22&gt;0,Worksheet!F22," ")</f>
        <v>36.25</v>
      </c>
      <c r="G22" s="484" t="s">
        <v>4</v>
      </c>
      <c r="H22" s="518">
        <f>IF(Worksheet!H22&gt;0,Worksheet!H22," ")</f>
        <v>64</v>
      </c>
      <c r="I22" s="481" t="str">
        <f>IF(Worksheet!I22&gt;0,Worksheet!I22," ")</f>
        <v>IB</v>
      </c>
      <c r="J22" s="481" t="str">
        <f>IF(Worksheet!J22&gt;0,Worksheet!J22," ")</f>
        <v xml:space="preserve"> </v>
      </c>
      <c r="K22" s="481" t="str">
        <f>IF(Worksheet!K22&gt;0,Worksheet!K22," ")</f>
        <v>White</v>
      </c>
      <c r="L22" s="481" t="str">
        <f>IF(Worksheet!L22&gt;0,Worksheet!L22," ")</f>
        <v>seamed</v>
      </c>
      <c r="M22" s="481" t="str">
        <f>IF(Worksheet!M22&gt;0,Worksheet!M22," ")</f>
        <v>Panta Flex Linen</v>
      </c>
      <c r="N22" s="481" t="str">
        <f>IF(Worksheet!N22&gt;0,Worksheet!N22," ")</f>
        <v>SAVE RODS</v>
      </c>
      <c r="O22" s="481" t="str">
        <f>IF(Worksheet!O22&gt;0,Worksheet!O22," ")</f>
        <v>V</v>
      </c>
      <c r="P22" s="481" t="str">
        <f>IF(Worksheet!P22&gt;0,Worksheet!P22," ")</f>
        <v>CX</v>
      </c>
      <c r="Q22" s="481" t="str">
        <f>IF(Worksheet!Q22&gt;0,Worksheet!Q22," ")</f>
        <v xml:space="preserve"> </v>
      </c>
    </row>
    <row r="23" spans="1:17" ht="12.75" customHeight="1" x14ac:dyDescent="0.25">
      <c r="A23" s="354" t="s">
        <v>38</v>
      </c>
      <c r="B23" s="449" t="str">
        <f>HLOOKUP($O$5,'Data Sheet'!$B$2:$CM$27,9,FALSE)</f>
        <v>P1-RS8</v>
      </c>
      <c r="C23" s="481" t="str">
        <f>IF(Worksheet!C23&gt;0,Worksheet!C23," ")</f>
        <v xml:space="preserve"> </v>
      </c>
      <c r="D23" s="482"/>
      <c r="E23" s="483" t="str">
        <f>Worksheet!E23</f>
        <v>Tube 1.5</v>
      </c>
      <c r="F23" s="504" t="str">
        <f>IF(Worksheet!F23&gt;0,Worksheet!F23," ")</f>
        <v xml:space="preserve"> </v>
      </c>
      <c r="G23" s="484" t="s">
        <v>4</v>
      </c>
      <c r="H23" s="518" t="str">
        <f>IF(Worksheet!H23&gt;0,Worksheet!H23," ")</f>
        <v xml:space="preserve"> </v>
      </c>
      <c r="I23" s="481" t="str">
        <f>IF(Worksheet!I23&gt;0,Worksheet!I23," ")</f>
        <v xml:space="preserve"> </v>
      </c>
      <c r="J23" s="481" t="str">
        <f>IF(Worksheet!J23&gt;0,Worksheet!J23," ")</f>
        <v xml:space="preserve"> </v>
      </c>
      <c r="K23" s="481" t="str">
        <f>IF(Worksheet!K23&gt;0,Worksheet!K23," ")</f>
        <v xml:space="preserve"> </v>
      </c>
      <c r="L23" s="481" t="str">
        <f>IF(Worksheet!L23&gt;0,Worksheet!L23," ")</f>
        <v xml:space="preserve"> </v>
      </c>
      <c r="M23" s="481" t="str">
        <f>IF(Worksheet!M23&gt;0,Worksheet!M23," ")</f>
        <v xml:space="preserve"> </v>
      </c>
      <c r="N23" s="481" t="str">
        <f>IF(Worksheet!N23&gt;0,Worksheet!N23," ")</f>
        <v xml:space="preserve"> </v>
      </c>
      <c r="O23" s="481" t="str">
        <f>IF(Worksheet!O23&gt;0,Worksheet!O23," ")</f>
        <v xml:space="preserve"> </v>
      </c>
      <c r="P23" s="481" t="str">
        <f>IF(Worksheet!P23&gt;0,Worksheet!P23," ")</f>
        <v xml:space="preserve"> </v>
      </c>
      <c r="Q23" s="481" t="str">
        <f>IF(Worksheet!Q23&gt;0,Worksheet!Q23," ")</f>
        <v xml:space="preserve"> </v>
      </c>
    </row>
    <row r="24" spans="1:17" ht="12.75" customHeight="1" x14ac:dyDescent="0.25">
      <c r="A24" s="354" t="s">
        <v>39</v>
      </c>
      <c r="B24" s="449" t="str">
        <f>HLOOKUP($O$5,'Data Sheet'!$B$2:$CM$27,10,FALSE)</f>
        <v>P1-RS9</v>
      </c>
      <c r="C24" s="481" t="str">
        <f>IF(Worksheet!C24&gt;0,Worksheet!C24," ")</f>
        <v xml:space="preserve"> </v>
      </c>
      <c r="D24" s="482"/>
      <c r="E24" s="483" t="str">
        <f>Worksheet!E24</f>
        <v>Tube 1.5</v>
      </c>
      <c r="F24" s="504" t="str">
        <f>IF(Worksheet!F24&gt;0,Worksheet!F24," ")</f>
        <v xml:space="preserve"> </v>
      </c>
      <c r="G24" s="484" t="s">
        <v>4</v>
      </c>
      <c r="H24" s="518" t="str">
        <f>IF(Worksheet!H24&gt;0,Worksheet!H24," ")</f>
        <v xml:space="preserve"> </v>
      </c>
      <c r="I24" s="481" t="str">
        <f>IF(Worksheet!I24&gt;0,Worksheet!I24," ")</f>
        <v xml:space="preserve"> </v>
      </c>
      <c r="J24" s="481" t="str">
        <f>IF(Worksheet!J24&gt;0,Worksheet!J24," ")</f>
        <v xml:space="preserve"> </v>
      </c>
      <c r="K24" s="481" t="str">
        <f>IF(Worksheet!K24&gt;0,Worksheet!K24," ")</f>
        <v xml:space="preserve"> </v>
      </c>
      <c r="L24" s="481" t="str">
        <f>IF(Worksheet!L24&gt;0,Worksheet!L24," ")</f>
        <v xml:space="preserve"> </v>
      </c>
      <c r="M24" s="481" t="str">
        <f>IF(Worksheet!M24&gt;0,Worksheet!M24," ")</f>
        <v xml:space="preserve"> </v>
      </c>
      <c r="N24" s="481" t="str">
        <f>IF(Worksheet!N24&gt;0,Worksheet!N24," ")</f>
        <v xml:space="preserve"> </v>
      </c>
      <c r="O24" s="481" t="str">
        <f>IF(Worksheet!O24&gt;0,Worksheet!O24," ")</f>
        <v xml:space="preserve"> </v>
      </c>
      <c r="P24" s="481" t="str">
        <f>IF(Worksheet!P24&gt;0,Worksheet!P24," ")</f>
        <v xml:space="preserve"> </v>
      </c>
      <c r="Q24" s="481" t="str">
        <f>IF(Worksheet!Q24&gt;0,Worksheet!Q24," ")</f>
        <v xml:space="preserve"> </v>
      </c>
    </row>
    <row r="25" spans="1:17" ht="12.75" customHeight="1" x14ac:dyDescent="0.25">
      <c r="A25" s="354" t="s">
        <v>40</v>
      </c>
      <c r="B25" s="449" t="str">
        <f>HLOOKUP($O$5,'Data Sheet'!$B$2:$CM$27,11,FALSE)</f>
        <v>P1-RS10</v>
      </c>
      <c r="C25" s="481" t="str">
        <f>IF(Worksheet!C25&gt;0,Worksheet!C25," ")</f>
        <v xml:space="preserve"> </v>
      </c>
      <c r="D25" s="484"/>
      <c r="E25" s="483" t="str">
        <f>Worksheet!E25</f>
        <v>Tube 1.5</v>
      </c>
      <c r="F25" s="504" t="str">
        <f>IF(Worksheet!F25&gt;0,Worksheet!F25," ")</f>
        <v xml:space="preserve"> </v>
      </c>
      <c r="G25" s="484" t="s">
        <v>4</v>
      </c>
      <c r="H25" s="518" t="str">
        <f>IF(Worksheet!H25&gt;0,Worksheet!H25," ")</f>
        <v xml:space="preserve"> </v>
      </c>
      <c r="I25" s="481" t="str">
        <f>IF(Worksheet!I25&gt;0,Worksheet!I25," ")</f>
        <v xml:space="preserve"> </v>
      </c>
      <c r="J25" s="481" t="str">
        <f>IF(Worksheet!J25&gt;0,Worksheet!J25," ")</f>
        <v xml:space="preserve"> </v>
      </c>
      <c r="K25" s="481" t="str">
        <f>IF(Worksheet!K25&gt;0,Worksheet!K25," ")</f>
        <v xml:space="preserve"> </v>
      </c>
      <c r="L25" s="481" t="str">
        <f>IF(Worksheet!L25&gt;0,Worksheet!L25," ")</f>
        <v xml:space="preserve"> </v>
      </c>
      <c r="M25" s="481" t="str">
        <f>IF(Worksheet!M25&gt;0,Worksheet!M25," ")</f>
        <v xml:space="preserve"> </v>
      </c>
      <c r="N25" s="481" t="str">
        <f>IF(Worksheet!N25&gt;0,Worksheet!N25," ")</f>
        <v xml:space="preserve"> </v>
      </c>
      <c r="O25" s="481" t="str">
        <f>IF(Worksheet!O25&gt;0,Worksheet!O25," ")</f>
        <v xml:space="preserve"> </v>
      </c>
      <c r="P25" s="481" t="str">
        <f>IF(Worksheet!P25&gt;0,Worksheet!P25," ")</f>
        <v xml:space="preserve"> </v>
      </c>
      <c r="Q25" s="481" t="str">
        <f>IF(Worksheet!Q25&gt;0,Worksheet!Q25," ")</f>
        <v xml:space="preserve"> </v>
      </c>
    </row>
    <row r="26" spans="1:17" ht="12.75" customHeight="1" x14ac:dyDescent="0.25">
      <c r="A26" s="354" t="s">
        <v>41</v>
      </c>
      <c r="B26" s="449" t="str">
        <f>HLOOKUP($O$5,'Data Sheet'!$B$2:$CM$27,12,FALSE)</f>
        <v>P1-RS11</v>
      </c>
      <c r="C26" s="481" t="str">
        <f>IF(Worksheet!C26&gt;0,Worksheet!C26," ")</f>
        <v xml:space="preserve"> </v>
      </c>
      <c r="D26" s="484"/>
      <c r="E26" s="483" t="str">
        <f>Worksheet!E26</f>
        <v>Tube 1.5</v>
      </c>
      <c r="F26" s="504" t="str">
        <f>IF(Worksheet!F26&gt;0,Worksheet!F26," ")</f>
        <v xml:space="preserve"> </v>
      </c>
      <c r="G26" s="484" t="s">
        <v>4</v>
      </c>
      <c r="H26" s="518" t="str">
        <f>IF(Worksheet!H26&gt;0,Worksheet!H26," ")</f>
        <v xml:space="preserve"> </v>
      </c>
      <c r="I26" s="481" t="str">
        <f>IF(Worksheet!I26&gt;0,Worksheet!I26," ")</f>
        <v xml:space="preserve"> </v>
      </c>
      <c r="J26" s="481" t="str">
        <f>IF(Worksheet!J26&gt;0,Worksheet!J26," ")</f>
        <v xml:space="preserve"> </v>
      </c>
      <c r="K26" s="481" t="str">
        <f>IF(Worksheet!K26&gt;0,Worksheet!K26," ")</f>
        <v xml:space="preserve"> </v>
      </c>
      <c r="L26" s="481" t="str">
        <f>IF(Worksheet!L26&gt;0,Worksheet!L26," ")</f>
        <v xml:space="preserve"> </v>
      </c>
      <c r="M26" s="481" t="str">
        <f>IF(Worksheet!M26&gt;0,Worksheet!M26," ")</f>
        <v xml:space="preserve"> </v>
      </c>
      <c r="N26" s="481" t="str">
        <f>IF(Worksheet!N26&gt;0,Worksheet!N26," ")</f>
        <v xml:space="preserve"> </v>
      </c>
      <c r="O26" s="481" t="str">
        <f>IF(Worksheet!O26&gt;0,Worksheet!O26," ")</f>
        <v xml:space="preserve"> </v>
      </c>
      <c r="P26" s="481" t="str">
        <f>IF(Worksheet!P26&gt;0,Worksheet!P26," ")</f>
        <v xml:space="preserve"> </v>
      </c>
      <c r="Q26" s="481" t="str">
        <f>IF(Worksheet!Q26&gt;0,Worksheet!Q26," ")</f>
        <v xml:space="preserve"> </v>
      </c>
    </row>
    <row r="27" spans="1:17" ht="12.75" customHeight="1" x14ac:dyDescent="0.25">
      <c r="A27" s="354" t="s">
        <v>42</v>
      </c>
      <c r="B27" s="449" t="str">
        <f>HLOOKUP($O$5,'Data Sheet'!$B$2:$CM$27,13,FALSE)</f>
        <v>P1-RS12</v>
      </c>
      <c r="C27" s="481" t="str">
        <f>IF(Worksheet!C27&gt;0,Worksheet!C27," ")</f>
        <v xml:space="preserve"> </v>
      </c>
      <c r="D27" s="484"/>
      <c r="E27" s="483" t="str">
        <f>Worksheet!E27</f>
        <v>Tube 1.5</v>
      </c>
      <c r="F27" s="504" t="str">
        <f>IF(Worksheet!F27&gt;0,Worksheet!F27," ")</f>
        <v xml:space="preserve"> </v>
      </c>
      <c r="G27" s="484" t="s">
        <v>4</v>
      </c>
      <c r="H27" s="518" t="str">
        <f>IF(Worksheet!H27&gt;0,Worksheet!H27," ")</f>
        <v xml:space="preserve"> </v>
      </c>
      <c r="I27" s="481" t="str">
        <f>IF(Worksheet!I27&gt;0,Worksheet!I27," ")</f>
        <v xml:space="preserve"> </v>
      </c>
      <c r="J27" s="481" t="str">
        <f>IF(Worksheet!J27&gt;0,Worksheet!J27," ")</f>
        <v xml:space="preserve"> </v>
      </c>
      <c r="K27" s="481" t="str">
        <f>IF(Worksheet!K27&gt;0,Worksheet!K27," ")</f>
        <v xml:space="preserve"> </v>
      </c>
      <c r="L27" s="481" t="str">
        <f>IF(Worksheet!L27&gt;0,Worksheet!L27," ")</f>
        <v xml:space="preserve"> </v>
      </c>
      <c r="M27" s="481" t="str">
        <f>IF(Worksheet!M27&gt;0,Worksheet!M27," ")</f>
        <v xml:space="preserve"> </v>
      </c>
      <c r="N27" s="481" t="str">
        <f>IF(Worksheet!N27&gt;0,Worksheet!N27," ")</f>
        <v xml:space="preserve"> </v>
      </c>
      <c r="O27" s="481" t="str">
        <f>IF(Worksheet!O27&gt;0,Worksheet!O27," ")</f>
        <v xml:space="preserve"> </v>
      </c>
      <c r="P27" s="481" t="str">
        <f>IF(Worksheet!P27&gt;0,Worksheet!P27," ")</f>
        <v xml:space="preserve"> </v>
      </c>
      <c r="Q27" s="481" t="str">
        <f>IF(Worksheet!Q27&gt;0,Worksheet!Q27," ")</f>
        <v xml:space="preserve"> </v>
      </c>
    </row>
    <row r="28" spans="1:17" ht="12.75" customHeight="1" x14ac:dyDescent="0.25">
      <c r="A28" s="354" t="s">
        <v>43</v>
      </c>
      <c r="B28" s="449" t="str">
        <f>HLOOKUP($O$5,'Data Sheet'!$B$2:$CM$27,14,FALSE)</f>
        <v>P1-RS13</v>
      </c>
      <c r="C28" s="481" t="str">
        <f>IF(Worksheet!C28&gt;0,Worksheet!C28," ")</f>
        <v xml:space="preserve"> </v>
      </c>
      <c r="D28" s="484"/>
      <c r="E28" s="483" t="str">
        <f>Worksheet!E28</f>
        <v>Tube 1.5</v>
      </c>
      <c r="F28" s="504" t="str">
        <f>IF(Worksheet!F28&gt;0,Worksheet!F28," ")</f>
        <v xml:space="preserve"> </v>
      </c>
      <c r="G28" s="484" t="s">
        <v>4</v>
      </c>
      <c r="H28" s="518" t="str">
        <f>IF(Worksheet!H28&gt;0,Worksheet!H28," ")</f>
        <v xml:space="preserve"> </v>
      </c>
      <c r="I28" s="481" t="str">
        <f>IF(Worksheet!I28&gt;0,Worksheet!I28," ")</f>
        <v xml:space="preserve"> </v>
      </c>
      <c r="J28" s="481" t="str">
        <f>IF(Worksheet!J28&gt;0,Worksheet!J28," ")</f>
        <v xml:space="preserve"> </v>
      </c>
      <c r="K28" s="481" t="str">
        <f>IF(Worksheet!K28&gt;0,Worksheet!K28," ")</f>
        <v xml:space="preserve"> </v>
      </c>
      <c r="L28" s="481" t="str">
        <f>IF(Worksheet!L28&gt;0,Worksheet!L28," ")</f>
        <v xml:space="preserve"> </v>
      </c>
      <c r="M28" s="481" t="str">
        <f>IF(Worksheet!M28&gt;0,Worksheet!M28," ")</f>
        <v xml:space="preserve"> </v>
      </c>
      <c r="N28" s="481" t="str">
        <f>IF(Worksheet!N28&gt;0,Worksheet!N28," ")</f>
        <v xml:space="preserve"> </v>
      </c>
      <c r="O28" s="481" t="str">
        <f>IF(Worksheet!O28&gt;0,Worksheet!O28," ")</f>
        <v xml:space="preserve"> </v>
      </c>
      <c r="P28" s="481" t="str">
        <f>IF(Worksheet!P28&gt;0,Worksheet!P28," ")</f>
        <v xml:space="preserve"> </v>
      </c>
      <c r="Q28" s="481" t="str">
        <f>IF(Worksheet!Q28&gt;0,Worksheet!Q28," ")</f>
        <v xml:space="preserve"> </v>
      </c>
    </row>
    <row r="29" spans="1:17" ht="12.75" customHeight="1" x14ac:dyDescent="0.25">
      <c r="A29" s="354" t="s">
        <v>44</v>
      </c>
      <c r="B29" s="449" t="str">
        <f>HLOOKUP($O$5,'Data Sheet'!$B$2:$CM$27,15,FALSE)</f>
        <v>P1-RS14</v>
      </c>
      <c r="C29" s="481" t="str">
        <f>IF(Worksheet!C29&gt;0,Worksheet!C29," ")</f>
        <v xml:space="preserve"> </v>
      </c>
      <c r="D29" s="484"/>
      <c r="E29" s="483" t="str">
        <f>Worksheet!E29</f>
        <v>Tube 1.5</v>
      </c>
      <c r="F29" s="504" t="str">
        <f>IF(Worksheet!F29&gt;0,Worksheet!F29," ")</f>
        <v xml:space="preserve"> </v>
      </c>
      <c r="G29" s="484" t="s">
        <v>4</v>
      </c>
      <c r="H29" s="518" t="str">
        <f>IF(Worksheet!H29&gt;0,Worksheet!H29," ")</f>
        <v xml:space="preserve"> </v>
      </c>
      <c r="I29" s="481" t="str">
        <f>IF(Worksheet!I29&gt;0,Worksheet!I29," ")</f>
        <v xml:space="preserve"> </v>
      </c>
      <c r="J29" s="481" t="str">
        <f>IF(Worksheet!J29&gt;0,Worksheet!J29," ")</f>
        <v xml:space="preserve"> </v>
      </c>
      <c r="K29" s="481" t="str">
        <f>IF(Worksheet!K29&gt;0,Worksheet!K29," ")</f>
        <v xml:space="preserve"> </v>
      </c>
      <c r="L29" s="481" t="str">
        <f>IF(Worksheet!L29&gt;0,Worksheet!L29," ")</f>
        <v xml:space="preserve"> </v>
      </c>
      <c r="M29" s="481" t="str">
        <f>IF(Worksheet!M29&gt;0,Worksheet!M29," ")</f>
        <v xml:space="preserve"> </v>
      </c>
      <c r="N29" s="481" t="str">
        <f>IF(Worksheet!N29&gt;0,Worksheet!N29," ")</f>
        <v xml:space="preserve"> </v>
      </c>
      <c r="O29" s="481" t="str">
        <f>IF(Worksheet!O29&gt;0,Worksheet!O29," ")</f>
        <v xml:space="preserve"> </v>
      </c>
      <c r="P29" s="481" t="str">
        <f>IF(Worksheet!P29&gt;0,Worksheet!P29," ")</f>
        <v xml:space="preserve"> </v>
      </c>
      <c r="Q29" s="481" t="str">
        <f>IF(Worksheet!Q29&gt;0,Worksheet!Q29," ")</f>
        <v xml:space="preserve"> </v>
      </c>
    </row>
    <row r="30" spans="1:17" ht="12.75" customHeight="1" x14ac:dyDescent="0.25">
      <c r="A30" s="354" t="s">
        <v>45</v>
      </c>
      <c r="B30" s="449" t="str">
        <f>HLOOKUP($O$5,'Data Sheet'!$B$2:$CM$27,16,FALSE)</f>
        <v>P1-RS15</v>
      </c>
      <c r="C30" s="481" t="str">
        <f>IF(Worksheet!C30&gt;0,Worksheet!C30," ")</f>
        <v xml:space="preserve"> </v>
      </c>
      <c r="D30" s="484"/>
      <c r="E30" s="483" t="str">
        <f>Worksheet!E30</f>
        <v>Tube 1.5</v>
      </c>
      <c r="F30" s="504" t="str">
        <f>IF(Worksheet!F30&gt;0,Worksheet!F30," ")</f>
        <v xml:space="preserve"> </v>
      </c>
      <c r="G30" s="484" t="s">
        <v>4</v>
      </c>
      <c r="H30" s="518" t="str">
        <f>IF(Worksheet!H30&gt;0,Worksheet!H30," ")</f>
        <v xml:space="preserve"> </v>
      </c>
      <c r="I30" s="481" t="str">
        <f>IF(Worksheet!I30&gt;0,Worksheet!I30," ")</f>
        <v xml:space="preserve"> </v>
      </c>
      <c r="J30" s="481" t="str">
        <f>IF(Worksheet!J30&gt;0,Worksheet!J30," ")</f>
        <v xml:space="preserve"> </v>
      </c>
      <c r="K30" s="481" t="str">
        <f>IF(Worksheet!K30&gt;0,Worksheet!K30," ")</f>
        <v xml:space="preserve"> </v>
      </c>
      <c r="L30" s="481" t="str">
        <f>IF(Worksheet!L30&gt;0,Worksheet!L30," ")</f>
        <v xml:space="preserve"> </v>
      </c>
      <c r="M30" s="481" t="str">
        <f>IF(Worksheet!M30&gt;0,Worksheet!M30," ")</f>
        <v xml:space="preserve"> </v>
      </c>
      <c r="N30" s="481" t="str">
        <f>IF(Worksheet!N30&gt;0,Worksheet!N30," ")</f>
        <v xml:space="preserve"> </v>
      </c>
      <c r="O30" s="481" t="str">
        <f>IF(Worksheet!O30&gt;0,Worksheet!O30," ")</f>
        <v xml:space="preserve"> </v>
      </c>
      <c r="P30" s="481" t="str">
        <f>IF(Worksheet!P30&gt;0,Worksheet!P30," ")</f>
        <v xml:space="preserve"> </v>
      </c>
      <c r="Q30" s="481" t="str">
        <f>IF(Worksheet!Q30&gt;0,Worksheet!Q30," ")</f>
        <v xml:space="preserve"> </v>
      </c>
    </row>
    <row r="31" spans="1:17" ht="12.75" customHeight="1" x14ac:dyDescent="0.25">
      <c r="A31" s="354" t="s">
        <v>46</v>
      </c>
      <c r="B31" s="449" t="str">
        <f>HLOOKUP($O$5,'Data Sheet'!$B$2:$CM$27,17,FALSE)</f>
        <v>P1-RS16</v>
      </c>
      <c r="C31" s="481" t="str">
        <f>IF(Worksheet!C31&gt;0,Worksheet!C31," ")</f>
        <v xml:space="preserve"> </v>
      </c>
      <c r="D31" s="484"/>
      <c r="E31" s="483" t="str">
        <f>Worksheet!E31</f>
        <v>Tube 1.5</v>
      </c>
      <c r="F31" s="504" t="str">
        <f>IF(Worksheet!F31&gt;0,Worksheet!F31," ")</f>
        <v xml:space="preserve"> </v>
      </c>
      <c r="G31" s="484" t="s">
        <v>4</v>
      </c>
      <c r="H31" s="518" t="str">
        <f>IF(Worksheet!H31&gt;0,Worksheet!H31," ")</f>
        <v xml:space="preserve"> </v>
      </c>
      <c r="I31" s="481" t="str">
        <f>IF(Worksheet!I31&gt;0,Worksheet!I31," ")</f>
        <v xml:space="preserve"> </v>
      </c>
      <c r="J31" s="481" t="str">
        <f>IF(Worksheet!J31&gt;0,Worksheet!J31," ")</f>
        <v xml:space="preserve"> </v>
      </c>
      <c r="K31" s="481" t="str">
        <f>IF(Worksheet!K31&gt;0,Worksheet!K31," ")</f>
        <v xml:space="preserve"> </v>
      </c>
      <c r="L31" s="481" t="str">
        <f>IF(Worksheet!L31&gt;0,Worksheet!L31," ")</f>
        <v xml:space="preserve"> </v>
      </c>
      <c r="M31" s="481" t="str">
        <f>IF(Worksheet!M31&gt;0,Worksheet!M31," ")</f>
        <v xml:space="preserve"> </v>
      </c>
      <c r="N31" s="481" t="str">
        <f>IF(Worksheet!N31&gt;0,Worksheet!N31," ")</f>
        <v xml:space="preserve"> </v>
      </c>
      <c r="O31" s="481" t="str">
        <f>IF(Worksheet!O31&gt;0,Worksheet!O31," ")</f>
        <v xml:space="preserve"> </v>
      </c>
      <c r="P31" s="481" t="str">
        <f>IF(Worksheet!P31&gt;0,Worksheet!P31," ")</f>
        <v xml:space="preserve"> </v>
      </c>
      <c r="Q31" s="481" t="str">
        <f>IF(Worksheet!Q31&gt;0,Worksheet!Q31," ")</f>
        <v xml:space="preserve"> </v>
      </c>
    </row>
    <row r="32" spans="1:17" ht="12.75" customHeight="1" x14ac:dyDescent="0.25">
      <c r="A32" s="354" t="s">
        <v>47</v>
      </c>
      <c r="B32" s="449" t="str">
        <f>HLOOKUP($O$5,'Data Sheet'!$B$2:$CM$27,18,FALSE)</f>
        <v>P1-RS17</v>
      </c>
      <c r="C32" s="481" t="str">
        <f>IF(Worksheet!C32&gt;0,Worksheet!C32," ")</f>
        <v xml:space="preserve"> </v>
      </c>
      <c r="D32" s="484"/>
      <c r="E32" s="483" t="str">
        <f>Worksheet!E32</f>
        <v>Tube 1.5</v>
      </c>
      <c r="F32" s="504" t="str">
        <f>IF(Worksheet!F32&gt;0,Worksheet!F32," ")</f>
        <v xml:space="preserve"> </v>
      </c>
      <c r="G32" s="484" t="s">
        <v>4</v>
      </c>
      <c r="H32" s="518" t="str">
        <f>IF(Worksheet!H32&gt;0,Worksheet!H32," ")</f>
        <v xml:space="preserve"> </v>
      </c>
      <c r="I32" s="481" t="str">
        <f>IF(Worksheet!I32&gt;0,Worksheet!I32," ")</f>
        <v xml:space="preserve"> </v>
      </c>
      <c r="J32" s="481" t="str">
        <f>IF(Worksheet!J32&gt;0,Worksheet!J32," ")</f>
        <v xml:space="preserve"> </v>
      </c>
      <c r="K32" s="481" t="str">
        <f>IF(Worksheet!K32&gt;0,Worksheet!K32," ")</f>
        <v xml:space="preserve"> </v>
      </c>
      <c r="L32" s="481" t="str">
        <f>IF(Worksheet!L32&gt;0,Worksheet!L32," ")</f>
        <v xml:space="preserve"> </v>
      </c>
      <c r="M32" s="481" t="str">
        <f>IF(Worksheet!M32&gt;0,Worksheet!M32," ")</f>
        <v xml:space="preserve"> </v>
      </c>
      <c r="N32" s="481" t="str">
        <f>IF(Worksheet!N32&gt;0,Worksheet!N32," ")</f>
        <v xml:space="preserve"> </v>
      </c>
      <c r="O32" s="481" t="str">
        <f>IF(Worksheet!O32&gt;0,Worksheet!O32," ")</f>
        <v xml:space="preserve"> </v>
      </c>
      <c r="P32" s="481" t="str">
        <f>IF(Worksheet!P32&gt;0,Worksheet!P32," ")</f>
        <v xml:space="preserve"> </v>
      </c>
      <c r="Q32" s="481" t="str">
        <f>IF(Worksheet!Q32&gt;0,Worksheet!Q32," ")</f>
        <v xml:space="preserve"> </v>
      </c>
    </row>
    <row r="33" spans="1:17" ht="12.75" customHeight="1" x14ac:dyDescent="0.25">
      <c r="A33" s="354" t="s">
        <v>48</v>
      </c>
      <c r="B33" s="449" t="str">
        <f>HLOOKUP($O$5,'Data Sheet'!$B$2:$CM$27,19,FALSE)</f>
        <v>P1-RS18</v>
      </c>
      <c r="C33" s="481" t="str">
        <f>IF(Worksheet!C33&gt;0,Worksheet!C33," ")</f>
        <v xml:space="preserve"> </v>
      </c>
      <c r="D33" s="484"/>
      <c r="E33" s="483" t="str">
        <f>Worksheet!E33</f>
        <v>Tube 1.5</v>
      </c>
      <c r="F33" s="504" t="str">
        <f>IF(Worksheet!F33&gt;0,Worksheet!F33," ")</f>
        <v xml:space="preserve"> </v>
      </c>
      <c r="G33" s="484" t="s">
        <v>4</v>
      </c>
      <c r="H33" s="518" t="str">
        <f>IF(Worksheet!H33&gt;0,Worksheet!H33," ")</f>
        <v xml:space="preserve"> </v>
      </c>
      <c r="I33" s="481" t="str">
        <f>IF(Worksheet!I33&gt;0,Worksheet!I33," ")</f>
        <v xml:space="preserve"> </v>
      </c>
      <c r="J33" s="481" t="str">
        <f>IF(Worksheet!J33&gt;0,Worksheet!J33," ")</f>
        <v xml:space="preserve"> </v>
      </c>
      <c r="K33" s="481" t="str">
        <f>IF(Worksheet!K33&gt;0,Worksheet!K33," ")</f>
        <v xml:space="preserve"> </v>
      </c>
      <c r="L33" s="481" t="str">
        <f>IF(Worksheet!L33&gt;0,Worksheet!L33," ")</f>
        <v xml:space="preserve"> </v>
      </c>
      <c r="M33" s="481" t="str">
        <f>IF(Worksheet!M33&gt;0,Worksheet!M33," ")</f>
        <v xml:space="preserve"> </v>
      </c>
      <c r="N33" s="481" t="str">
        <f>IF(Worksheet!N33&gt;0,Worksheet!N33," ")</f>
        <v xml:space="preserve"> </v>
      </c>
      <c r="O33" s="481" t="str">
        <f>IF(Worksheet!O33&gt;0,Worksheet!O33," ")</f>
        <v xml:space="preserve"> </v>
      </c>
      <c r="P33" s="481" t="str">
        <f>IF(Worksheet!P33&gt;0,Worksheet!P33," ")</f>
        <v xml:space="preserve"> </v>
      </c>
      <c r="Q33" s="481" t="str">
        <f>IF(Worksheet!Q33&gt;0,Worksheet!Q33," ")</f>
        <v xml:space="preserve"> </v>
      </c>
    </row>
    <row r="34" spans="1:17" ht="12.75" customHeight="1" x14ac:dyDescent="0.25">
      <c r="A34" s="354" t="s">
        <v>49</v>
      </c>
      <c r="B34" s="449" t="str">
        <f>HLOOKUP($O$5,'Data Sheet'!$B$2:$CM$27,20,FALSE)</f>
        <v>P1-RS19</v>
      </c>
      <c r="C34" s="481" t="str">
        <f>IF(Worksheet!C34&gt;0,Worksheet!C34," ")</f>
        <v xml:space="preserve"> </v>
      </c>
      <c r="D34" s="484"/>
      <c r="E34" s="483" t="str">
        <f>Worksheet!E34</f>
        <v>Tube 1.5</v>
      </c>
      <c r="F34" s="504" t="str">
        <f>IF(Worksheet!F34&gt;0,Worksheet!F34," ")</f>
        <v xml:space="preserve"> </v>
      </c>
      <c r="G34" s="484" t="s">
        <v>4</v>
      </c>
      <c r="H34" s="518" t="str">
        <f>IF(Worksheet!H34&gt;0,Worksheet!H34," ")</f>
        <v xml:space="preserve"> </v>
      </c>
      <c r="I34" s="481" t="str">
        <f>IF(Worksheet!I34&gt;0,Worksheet!I34," ")</f>
        <v xml:space="preserve"> </v>
      </c>
      <c r="J34" s="481" t="str">
        <f>IF(Worksheet!J34&gt;0,Worksheet!J34," ")</f>
        <v xml:space="preserve"> </v>
      </c>
      <c r="K34" s="481" t="str">
        <f>IF(Worksheet!K34&gt;0,Worksheet!K34," ")</f>
        <v xml:space="preserve"> </v>
      </c>
      <c r="L34" s="481" t="str">
        <f>IF(Worksheet!L34&gt;0,Worksheet!L34," ")</f>
        <v xml:space="preserve"> </v>
      </c>
      <c r="M34" s="481" t="str">
        <f>IF(Worksheet!M34&gt;0,Worksheet!M34," ")</f>
        <v xml:space="preserve"> </v>
      </c>
      <c r="N34" s="481" t="str">
        <f>IF(Worksheet!N34&gt;0,Worksheet!N34," ")</f>
        <v xml:space="preserve"> </v>
      </c>
      <c r="O34" s="481" t="str">
        <f>IF(Worksheet!O34&gt;0,Worksheet!O34," ")</f>
        <v xml:space="preserve"> </v>
      </c>
      <c r="P34" s="481" t="str">
        <f>IF(Worksheet!P34&gt;0,Worksheet!P34," ")</f>
        <v xml:space="preserve"> </v>
      </c>
      <c r="Q34" s="481" t="str">
        <f>IF(Worksheet!Q34&gt;0,Worksheet!Q34," ")</f>
        <v xml:space="preserve"> </v>
      </c>
    </row>
    <row r="35" spans="1:17" ht="12.75" customHeight="1" x14ac:dyDescent="0.25">
      <c r="A35" s="354" t="s">
        <v>50</v>
      </c>
      <c r="B35" s="449" t="str">
        <f>HLOOKUP($O$5,'Data Sheet'!$B$2:$CM$27,21,FALSE)</f>
        <v>P1-RS20</v>
      </c>
      <c r="C35" s="481" t="str">
        <f>IF(Worksheet!C35&gt;0,Worksheet!C35," ")</f>
        <v xml:space="preserve"> </v>
      </c>
      <c r="D35" s="484"/>
      <c r="E35" s="483" t="str">
        <f>Worksheet!E35</f>
        <v>Tube 1.5</v>
      </c>
      <c r="F35" s="504" t="str">
        <f>IF(Worksheet!F35&gt;0,Worksheet!F35," ")</f>
        <v xml:space="preserve"> </v>
      </c>
      <c r="G35" s="484" t="s">
        <v>4</v>
      </c>
      <c r="H35" s="518" t="str">
        <f>IF(Worksheet!H35&gt;0,Worksheet!H35," ")</f>
        <v xml:space="preserve"> </v>
      </c>
      <c r="I35" s="481" t="str">
        <f>IF(Worksheet!I35&gt;0,Worksheet!I35," ")</f>
        <v xml:space="preserve"> </v>
      </c>
      <c r="J35" s="481" t="str">
        <f>IF(Worksheet!J35&gt;0,Worksheet!J35," ")</f>
        <v xml:space="preserve"> </v>
      </c>
      <c r="K35" s="481" t="str">
        <f>IF(Worksheet!K35&gt;0,Worksheet!K35," ")</f>
        <v xml:space="preserve"> </v>
      </c>
      <c r="L35" s="481" t="str">
        <f>IF(Worksheet!L35&gt;0,Worksheet!L35," ")</f>
        <v xml:space="preserve"> </v>
      </c>
      <c r="M35" s="481" t="str">
        <f>IF(Worksheet!M35&gt;0,Worksheet!M35," ")</f>
        <v xml:space="preserve"> </v>
      </c>
      <c r="N35" s="481" t="str">
        <f>IF(Worksheet!N35&gt;0,Worksheet!N35," ")</f>
        <v xml:space="preserve"> </v>
      </c>
      <c r="O35" s="481" t="str">
        <f>IF(Worksheet!O35&gt;0,Worksheet!O35," ")</f>
        <v xml:space="preserve"> </v>
      </c>
      <c r="P35" s="481" t="str">
        <f>IF(Worksheet!P35&gt;0,Worksheet!P35," ")</f>
        <v xml:space="preserve"> </v>
      </c>
      <c r="Q35" s="481" t="str">
        <f>IF(Worksheet!Q35&gt;0,Worksheet!Q35," ")</f>
        <v xml:space="preserve"> </v>
      </c>
    </row>
    <row r="36" spans="1:17" ht="12.75" customHeight="1" x14ac:dyDescent="0.25">
      <c r="A36" s="354" t="s">
        <v>182</v>
      </c>
      <c r="B36" s="449" t="str">
        <f>HLOOKUP($O$5,'Data Sheet'!$B$2:$CM$27,22,FALSE)</f>
        <v>P1-RS21</v>
      </c>
      <c r="C36" s="481" t="str">
        <f>IF(Worksheet!C36&gt;0,Worksheet!C36," ")</f>
        <v xml:space="preserve"> </v>
      </c>
      <c r="D36" s="484"/>
      <c r="E36" s="483" t="str">
        <f>Worksheet!E36</f>
        <v>Tube 1.5</v>
      </c>
      <c r="F36" s="504" t="str">
        <f>IF(Worksheet!F36&gt;0,Worksheet!F36," ")</f>
        <v xml:space="preserve"> </v>
      </c>
      <c r="G36" s="484" t="s">
        <v>4</v>
      </c>
      <c r="H36" s="518" t="str">
        <f>IF(Worksheet!H36&gt;0,Worksheet!H36," ")</f>
        <v xml:space="preserve"> </v>
      </c>
      <c r="I36" s="481" t="str">
        <f>IF(Worksheet!I36&gt;0,Worksheet!I36," ")</f>
        <v xml:space="preserve"> </v>
      </c>
      <c r="J36" s="481" t="str">
        <f>IF(Worksheet!J36&gt;0,Worksheet!J36," ")</f>
        <v xml:space="preserve"> </v>
      </c>
      <c r="K36" s="481" t="str">
        <f>IF(Worksheet!K36&gt;0,Worksheet!K36," ")</f>
        <v xml:space="preserve"> </v>
      </c>
      <c r="L36" s="481" t="str">
        <f>IF(Worksheet!L36&gt;0,Worksheet!L36," ")</f>
        <v xml:space="preserve"> </v>
      </c>
      <c r="M36" s="481" t="str">
        <f>IF(Worksheet!M36&gt;0,Worksheet!M36," ")</f>
        <v xml:space="preserve"> </v>
      </c>
      <c r="N36" s="481" t="str">
        <f>IF(Worksheet!N36&gt;0,Worksheet!N36," ")</f>
        <v xml:space="preserve"> </v>
      </c>
      <c r="O36" s="481" t="str">
        <f>IF(Worksheet!O36&gt;0,Worksheet!O36," ")</f>
        <v xml:space="preserve"> </v>
      </c>
      <c r="P36" s="481" t="str">
        <f>IF(Worksheet!P36&gt;0,Worksheet!P36," ")</f>
        <v xml:space="preserve"> </v>
      </c>
      <c r="Q36" s="481" t="str">
        <f>IF(Worksheet!Q36&gt;0,Worksheet!Q36," ")</f>
        <v xml:space="preserve"> </v>
      </c>
    </row>
    <row r="37" spans="1:17" ht="12.75" customHeight="1" x14ac:dyDescent="0.25">
      <c r="A37" s="354" t="s">
        <v>183</v>
      </c>
      <c r="B37" s="449" t="str">
        <f>HLOOKUP($O$5,'Data Sheet'!$B$2:$CM$27,23,FALSE)</f>
        <v>P1-RS22</v>
      </c>
      <c r="C37" s="481" t="str">
        <f>IF(Worksheet!C37&gt;0,Worksheet!C37," ")</f>
        <v xml:space="preserve"> </v>
      </c>
      <c r="D37" s="484"/>
      <c r="E37" s="483" t="str">
        <f>Worksheet!E37</f>
        <v>Tube 1.5</v>
      </c>
      <c r="F37" s="504" t="str">
        <f>IF(Worksheet!F37&gt;0,Worksheet!F37," ")</f>
        <v xml:space="preserve"> </v>
      </c>
      <c r="G37" s="484" t="s">
        <v>4</v>
      </c>
      <c r="H37" s="518" t="str">
        <f>IF(Worksheet!H37&gt;0,Worksheet!H37," ")</f>
        <v xml:space="preserve"> </v>
      </c>
      <c r="I37" s="481" t="str">
        <f>IF(Worksheet!I37&gt;0,Worksheet!I37," ")</f>
        <v xml:space="preserve"> </v>
      </c>
      <c r="J37" s="481" t="str">
        <f>IF(Worksheet!J37&gt;0,Worksheet!J37," ")</f>
        <v xml:space="preserve"> </v>
      </c>
      <c r="K37" s="481" t="str">
        <f>IF(Worksheet!K37&gt;0,Worksheet!K37," ")</f>
        <v xml:space="preserve"> </v>
      </c>
      <c r="L37" s="481" t="str">
        <f>IF(Worksheet!L37&gt;0,Worksheet!L37," ")</f>
        <v xml:space="preserve"> </v>
      </c>
      <c r="M37" s="481" t="str">
        <f>IF(Worksheet!M37&gt;0,Worksheet!M37," ")</f>
        <v xml:space="preserve"> </v>
      </c>
      <c r="N37" s="481" t="str">
        <f>IF(Worksheet!N37&gt;0,Worksheet!N37," ")</f>
        <v xml:space="preserve"> </v>
      </c>
      <c r="O37" s="481" t="str">
        <f>IF(Worksheet!O37&gt;0,Worksheet!O37," ")</f>
        <v xml:space="preserve"> </v>
      </c>
      <c r="P37" s="481" t="str">
        <f>IF(Worksheet!P37&gt;0,Worksheet!P37," ")</f>
        <v xml:space="preserve"> </v>
      </c>
      <c r="Q37" s="481" t="str">
        <f>IF(Worksheet!Q37&gt;0,Worksheet!Q37," ")</f>
        <v xml:space="preserve"> </v>
      </c>
    </row>
    <row r="38" spans="1:17" ht="12.75" customHeight="1" x14ac:dyDescent="0.25">
      <c r="A38" s="354" t="s">
        <v>184</v>
      </c>
      <c r="B38" s="449" t="str">
        <f>HLOOKUP($O$5,'Data Sheet'!$B$2:$CM$27,24,FALSE)</f>
        <v>P1-RS23</v>
      </c>
      <c r="C38" s="481" t="str">
        <f>IF(Worksheet!C38&gt;0,Worksheet!C38," ")</f>
        <v xml:space="preserve"> </v>
      </c>
      <c r="D38" s="484"/>
      <c r="E38" s="483" t="str">
        <f>Worksheet!E38</f>
        <v>Tube 1.5</v>
      </c>
      <c r="F38" s="504" t="str">
        <f>IF(Worksheet!F38&gt;0,Worksheet!F38," ")</f>
        <v xml:space="preserve"> </v>
      </c>
      <c r="G38" s="484" t="s">
        <v>4</v>
      </c>
      <c r="H38" s="518" t="str">
        <f>IF(Worksheet!H38&gt;0,Worksheet!H38," ")</f>
        <v xml:space="preserve"> </v>
      </c>
      <c r="I38" s="481" t="str">
        <f>IF(Worksheet!I38&gt;0,Worksheet!I38," ")</f>
        <v xml:space="preserve"> </v>
      </c>
      <c r="J38" s="481" t="str">
        <f>IF(Worksheet!J38&gt;0,Worksheet!J38," ")</f>
        <v xml:space="preserve"> </v>
      </c>
      <c r="K38" s="481" t="str">
        <f>IF(Worksheet!K38&gt;0,Worksheet!K38," ")</f>
        <v xml:space="preserve"> </v>
      </c>
      <c r="L38" s="481" t="str">
        <f>IF(Worksheet!L38&gt;0,Worksheet!L38," ")</f>
        <v xml:space="preserve"> </v>
      </c>
      <c r="M38" s="481" t="str">
        <f>IF(Worksheet!M38&gt;0,Worksheet!M38," ")</f>
        <v xml:space="preserve"> </v>
      </c>
      <c r="N38" s="481" t="str">
        <f>IF(Worksheet!N38&gt;0,Worksheet!N38," ")</f>
        <v xml:space="preserve"> </v>
      </c>
      <c r="O38" s="481" t="str">
        <f>IF(Worksheet!O38&gt;0,Worksheet!O38," ")</f>
        <v xml:space="preserve"> </v>
      </c>
      <c r="P38" s="481" t="str">
        <f>IF(Worksheet!P38&gt;0,Worksheet!P38," ")</f>
        <v xml:space="preserve"> </v>
      </c>
      <c r="Q38" s="481" t="str">
        <f>IF(Worksheet!Q38&gt;0,Worksheet!Q38," ")</f>
        <v xml:space="preserve"> </v>
      </c>
    </row>
    <row r="39" spans="1:17" ht="12.75" customHeight="1" x14ac:dyDescent="0.25">
      <c r="A39" s="354" t="s">
        <v>185</v>
      </c>
      <c r="B39" s="449" t="str">
        <f>HLOOKUP($O$5,'Data Sheet'!$B$2:$CM$27,25,FALSE)</f>
        <v>P1-RS24</v>
      </c>
      <c r="C39" s="481" t="str">
        <f>IF(Worksheet!C39&gt;0,Worksheet!C39," ")</f>
        <v xml:space="preserve"> </v>
      </c>
      <c r="D39" s="484"/>
      <c r="E39" s="483" t="str">
        <f>Worksheet!E39</f>
        <v>Tube 1.5</v>
      </c>
      <c r="F39" s="504" t="str">
        <f>IF(Worksheet!F39&gt;0,Worksheet!F39," ")</f>
        <v xml:space="preserve"> </v>
      </c>
      <c r="G39" s="484" t="s">
        <v>4</v>
      </c>
      <c r="H39" s="518" t="str">
        <f>IF(Worksheet!H39&gt;0,Worksheet!H39," ")</f>
        <v xml:space="preserve"> </v>
      </c>
      <c r="I39" s="481" t="str">
        <f>IF(Worksheet!I39&gt;0,Worksheet!I39," ")</f>
        <v xml:space="preserve"> </v>
      </c>
      <c r="J39" s="481" t="str">
        <f>IF(Worksheet!J39&gt;0,Worksheet!J39," ")</f>
        <v xml:space="preserve"> </v>
      </c>
      <c r="K39" s="481" t="str">
        <f>IF(Worksheet!K39&gt;0,Worksheet!K39," ")</f>
        <v xml:space="preserve"> </v>
      </c>
      <c r="L39" s="481" t="str">
        <f>IF(Worksheet!L39&gt;0,Worksheet!L39," ")</f>
        <v xml:space="preserve"> </v>
      </c>
      <c r="M39" s="481" t="str">
        <f>IF(Worksheet!M39&gt;0,Worksheet!M39," ")</f>
        <v xml:space="preserve"> </v>
      </c>
      <c r="N39" s="481" t="str">
        <f>IF(Worksheet!N39&gt;0,Worksheet!N39," ")</f>
        <v xml:space="preserve"> </v>
      </c>
      <c r="O39" s="481" t="str">
        <f>IF(Worksheet!O39&gt;0,Worksheet!O39," ")</f>
        <v xml:space="preserve"> </v>
      </c>
      <c r="P39" s="481" t="str">
        <f>IF(Worksheet!P39&gt;0,Worksheet!P39," ")</f>
        <v xml:space="preserve"> </v>
      </c>
      <c r="Q39" s="481" t="str">
        <f>IF(Worksheet!Q39&gt;0,Worksheet!Q39," ")</f>
        <v xml:space="preserve"> </v>
      </c>
    </row>
    <row r="40" spans="1:17" ht="12.75" customHeight="1" x14ac:dyDescent="0.25">
      <c r="A40" s="354" t="s">
        <v>186</v>
      </c>
      <c r="B40" s="449" t="str">
        <f>HLOOKUP($O$5,'Data Sheet'!$B$2:$CM$27,26,FALSE)</f>
        <v>P1-RS25</v>
      </c>
      <c r="C40" s="481" t="str">
        <f>IF(Worksheet!C40&gt;0,Worksheet!C40," ")</f>
        <v xml:space="preserve"> </v>
      </c>
      <c r="D40" s="484"/>
      <c r="E40" s="483" t="str">
        <f>Worksheet!E40</f>
        <v>Tube 1.5</v>
      </c>
      <c r="F40" s="504" t="str">
        <f>IF(Worksheet!F40&gt;0,Worksheet!F40," ")</f>
        <v xml:space="preserve"> </v>
      </c>
      <c r="G40" s="484" t="s">
        <v>4</v>
      </c>
      <c r="H40" s="518" t="str">
        <f>IF(Worksheet!H40&gt;0,Worksheet!H40," ")</f>
        <v xml:space="preserve"> </v>
      </c>
      <c r="I40" s="481" t="str">
        <f>IF(Worksheet!I40&gt;0,Worksheet!I40," ")</f>
        <v xml:space="preserve"> </v>
      </c>
      <c r="J40" s="481" t="str">
        <f>IF(Worksheet!J40&gt;0,Worksheet!J40," ")</f>
        <v xml:space="preserve"> </v>
      </c>
      <c r="K40" s="481" t="str">
        <f>IF(Worksheet!K40&gt;0,Worksheet!K40," ")</f>
        <v xml:space="preserve"> </v>
      </c>
      <c r="L40" s="481" t="str">
        <f>IF(Worksheet!L40&gt;0,Worksheet!L40," ")</f>
        <v xml:space="preserve"> </v>
      </c>
      <c r="M40" s="481" t="str">
        <f>IF(Worksheet!M40&gt;0,Worksheet!M40," ")</f>
        <v xml:space="preserve"> </v>
      </c>
      <c r="N40" s="481" t="str">
        <f>IF(Worksheet!N40&gt;0,Worksheet!N40," ")</f>
        <v xml:space="preserve"> </v>
      </c>
      <c r="O40" s="481" t="str">
        <f>IF(Worksheet!O40&gt;0,Worksheet!O40," ")</f>
        <v xml:space="preserve"> </v>
      </c>
      <c r="P40" s="481" t="str">
        <f>IF(Worksheet!P40&gt;0,Worksheet!P40," ")</f>
        <v xml:space="preserve"> </v>
      </c>
      <c r="Q40" s="481" t="str">
        <f>IF(Worksheet!Q40&gt;0,Worksheet!Q40," ")</f>
        <v xml:space="preserve"> </v>
      </c>
    </row>
    <row r="41" spans="1:17" s="391" customFormat="1" ht="15.75" customHeight="1" thickBot="1" x14ac:dyDescent="0.3">
      <c r="B41" s="485"/>
      <c r="C41" s="610">
        <f>SUM(D16:D40)</f>
        <v>0</v>
      </c>
      <c r="D41" s="610"/>
      <c r="E41" s="391" t="s">
        <v>8</v>
      </c>
      <c r="F41" s="486"/>
      <c r="H41" s="487"/>
    </row>
    <row r="42" spans="1:17" ht="16.2" thickBot="1" x14ac:dyDescent="0.35">
      <c r="B42" s="477"/>
      <c r="C42" s="391"/>
      <c r="D42" s="488"/>
      <c r="E42" s="478"/>
      <c r="F42" s="486"/>
      <c r="G42" s="391"/>
      <c r="H42" s="478"/>
      <c r="I42" s="391"/>
      <c r="K42" s="489"/>
      <c r="L42" s="490" t="s">
        <v>204</v>
      </c>
      <c r="M42" s="491" t="str">
        <f>Worksheet!M42</f>
        <v>Doyle</v>
      </c>
      <c r="N42" s="391"/>
      <c r="O42" s="611" t="s">
        <v>202</v>
      </c>
      <c r="P42" s="612"/>
      <c r="Q42" s="613"/>
    </row>
    <row r="43" spans="1:17" ht="15" customHeight="1" x14ac:dyDescent="0.3">
      <c r="D43" s="492" t="s">
        <v>2623</v>
      </c>
      <c r="E43" s="493">
        <f>O5</f>
        <v>1</v>
      </c>
      <c r="O43" s="614" t="s">
        <v>82</v>
      </c>
      <c r="P43" s="615"/>
      <c r="Q43" s="616"/>
    </row>
    <row r="44" spans="1:17" ht="15" customHeight="1" x14ac:dyDescent="0.25">
      <c r="D44" s="354"/>
      <c r="F44" s="451"/>
      <c r="H44" s="354"/>
      <c r="O44" s="614" t="s">
        <v>216</v>
      </c>
      <c r="P44" s="615"/>
      <c r="Q44" s="616"/>
    </row>
    <row r="45" spans="1:17" ht="15" customHeight="1" x14ac:dyDescent="0.25">
      <c r="D45" s="354"/>
      <c r="F45" s="451"/>
      <c r="H45" s="354"/>
      <c r="M45" s="449"/>
      <c r="O45" s="600" t="s">
        <v>2625</v>
      </c>
      <c r="P45" s="601"/>
      <c r="Q45" s="602"/>
    </row>
    <row r="46" spans="1:17" ht="15" customHeight="1" x14ac:dyDescent="0.25">
      <c r="D46" s="494"/>
      <c r="O46" s="391"/>
      <c r="P46" s="391"/>
      <c r="Q46" s="391"/>
    </row>
    <row r="57" spans="3:35" x14ac:dyDescent="0.25">
      <c r="C57" s="449"/>
      <c r="H57" s="358"/>
      <c r="J57" s="450"/>
      <c r="L57" s="358"/>
      <c r="O57" s="358"/>
      <c r="Q57" s="450"/>
      <c r="R57" s="450"/>
      <c r="S57" s="450"/>
      <c r="U57" s="358"/>
      <c r="W57" s="450"/>
      <c r="Y57" s="358"/>
      <c r="AA57" s="450"/>
      <c r="AC57" s="358"/>
      <c r="AE57" s="450"/>
      <c r="AG57" s="358"/>
      <c r="AI57" s="450"/>
    </row>
  </sheetData>
  <mergeCells count="9">
    <mergeCell ref="O45:Q45"/>
    <mergeCell ref="P2:Q2"/>
    <mergeCell ref="O7:P7"/>
    <mergeCell ref="J8:M10"/>
    <mergeCell ref="D10:D15"/>
    <mergeCell ref="C41:D41"/>
    <mergeCell ref="O42:Q42"/>
    <mergeCell ref="O43:Q43"/>
    <mergeCell ref="O44:Q44"/>
  </mergeCells>
  <conditionalFormatting sqref="D16:D40">
    <cfRule type="cellIs" dxfId="21" priority="2" stopIfTrue="1" operator="greaterThan">
      <formula>1</formula>
    </cfRule>
  </conditionalFormatting>
  <conditionalFormatting sqref="E16:E40">
    <cfRule type="expression" dxfId="20" priority="9" stopIfTrue="1">
      <formula>$D16&gt;1</formula>
    </cfRule>
  </conditionalFormatting>
  <conditionalFormatting sqref="O7:P7">
    <cfRule type="containsBlanks" dxfId="19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15</xdr:col>
                    <xdr:colOff>152400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15</xdr:col>
                    <xdr:colOff>76200</xdr:colOff>
                    <xdr:row>9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0F0A-EB96-40C7-B930-8B251F0BBDB2}">
  <dimension ref="A2:AT40"/>
  <sheetViews>
    <sheetView showGridLines="0" showZeros="0" view="pageBreakPreview" zoomScaleNormal="100" workbookViewId="0">
      <selection activeCell="C7" sqref="C7"/>
    </sheetView>
  </sheetViews>
  <sheetFormatPr defaultColWidth="8.88671875" defaultRowHeight="13.2" x14ac:dyDescent="0.25"/>
  <cols>
    <col min="1" max="1" width="12.44140625" customWidth="1"/>
    <col min="2" max="2" width="14" style="8" customWidth="1"/>
    <col min="3" max="3" width="14" style="35" customWidth="1"/>
    <col min="4" max="4" width="8.33203125" customWidth="1"/>
    <col min="5" max="5" width="10.44140625" style="8" customWidth="1"/>
    <col min="6" max="6" width="15.44140625" customWidth="1"/>
    <col min="7" max="7" width="15.88671875" customWidth="1"/>
    <col min="8" max="8" width="4" style="8" customWidth="1"/>
    <col min="9" max="9" width="13" customWidth="1"/>
    <col min="10" max="10" width="8.44140625" style="5" customWidth="1"/>
    <col min="11" max="11" width="6.44140625" customWidth="1"/>
    <col min="12" max="12" width="7" customWidth="1"/>
    <col min="13" max="13" width="7.5546875" customWidth="1"/>
    <col min="14" max="14" width="8.6640625" customWidth="1"/>
  </cols>
  <sheetData>
    <row r="2" spans="1:46" ht="13.8" thickBot="1" x14ac:dyDescent="0.3">
      <c r="E2" s="8">
        <v>0</v>
      </c>
    </row>
    <row r="3" spans="1:46" x14ac:dyDescent="0.25">
      <c r="C3" s="617">
        <f>Worksheet!$AA$2</f>
        <v>33303</v>
      </c>
      <c r="AN3" s="1" t="s">
        <v>71</v>
      </c>
      <c r="AT3" s="1" t="s">
        <v>75</v>
      </c>
    </row>
    <row r="4" spans="1:46" ht="13.8" thickBot="1" x14ac:dyDescent="0.3">
      <c r="B4" s="42" t="s">
        <v>2629</v>
      </c>
      <c r="C4" s="618"/>
      <c r="D4" s="354"/>
      <c r="H4" s="40"/>
      <c r="AN4" s="2" t="s">
        <v>74</v>
      </c>
      <c r="AT4" s="2" t="s">
        <v>73</v>
      </c>
    </row>
    <row r="5" spans="1:46" ht="30" x14ac:dyDescent="0.5">
      <c r="F5" s="72" t="s">
        <v>79</v>
      </c>
      <c r="AN5" s="1" t="s">
        <v>72</v>
      </c>
      <c r="AT5" s="1"/>
    </row>
    <row r="7" spans="1:46" x14ac:dyDescent="0.25">
      <c r="G7" s="78" t="s">
        <v>81</v>
      </c>
    </row>
    <row r="8" spans="1:46" ht="17.399999999999999" x14ac:dyDescent="0.3">
      <c r="F8" s="73" t="str">
        <f>jobname</f>
        <v>Cottonwood Creek WO#I5187109-00104</v>
      </c>
      <c r="G8" s="73"/>
      <c r="H8" s="74"/>
      <c r="I8" s="6"/>
      <c r="J8" s="74"/>
    </row>
    <row r="9" spans="1:46" ht="13.8" thickBot="1" x14ac:dyDescent="0.3">
      <c r="G9" s="41"/>
      <c r="J9" s="349" t="s">
        <v>2617</v>
      </c>
      <c r="K9" s="126"/>
      <c r="L9" s="126" t="s">
        <v>221</v>
      </c>
    </row>
    <row r="10" spans="1:46" ht="14.7" customHeight="1" x14ac:dyDescent="0.3">
      <c r="B10" s="212" t="s">
        <v>2507</v>
      </c>
      <c r="C10" s="214" t="s">
        <v>2509</v>
      </c>
      <c r="D10" s="124" t="s">
        <v>219</v>
      </c>
      <c r="E10" s="124" t="s">
        <v>2542</v>
      </c>
      <c r="F10" s="10"/>
      <c r="J10" s="48" t="s">
        <v>20</v>
      </c>
      <c r="K10" s="126" t="s">
        <v>205</v>
      </c>
      <c r="L10" s="126" t="s">
        <v>250</v>
      </c>
      <c r="M10" s="47" t="s">
        <v>80</v>
      </c>
      <c r="N10" s="47" t="s">
        <v>16</v>
      </c>
    </row>
    <row r="11" spans="1:46" ht="16.350000000000001" customHeight="1" thickBot="1" x14ac:dyDescent="0.35">
      <c r="B11" s="213" t="s">
        <v>2508</v>
      </c>
      <c r="C11" s="215" t="s">
        <v>2508</v>
      </c>
      <c r="D11" s="215" t="s">
        <v>3</v>
      </c>
      <c r="E11" s="125" t="s">
        <v>3</v>
      </c>
      <c r="F11" s="10"/>
      <c r="G11" s="46" t="s">
        <v>2</v>
      </c>
      <c r="H11" s="47" t="s">
        <v>12</v>
      </c>
      <c r="I11" s="129" t="s">
        <v>2511</v>
      </c>
      <c r="J11" s="48" t="s">
        <v>3</v>
      </c>
      <c r="K11" s="128" t="s">
        <v>206</v>
      </c>
      <c r="L11" s="126" t="s">
        <v>13</v>
      </c>
      <c r="M11" s="47" t="s">
        <v>15</v>
      </c>
      <c r="N11" s="47" t="s">
        <v>15</v>
      </c>
    </row>
    <row r="12" spans="1:46" x14ac:dyDescent="0.25">
      <c r="A12" t="s">
        <v>32</v>
      </c>
      <c r="B12" s="8">
        <f>Worksheet!$AA$2</f>
        <v>33303</v>
      </c>
      <c r="C12" s="35" t="str">
        <f>+IF(H12&gt;0,Worksheet!$B16," ")</f>
        <v>P1-RS1</v>
      </c>
      <c r="D12" s="216">
        <f>IF(H12&gt;0,Tickets!$C$13," ")</f>
        <v>43.625</v>
      </c>
      <c r="E12" s="58">
        <f>IF(H$12&gt;0,Worksheet!$F16-2.5,IF(Worksheet!$J16&gt;0,Worksheet!$F16-3.25," "))</f>
        <v>42.5</v>
      </c>
      <c r="F12" s="7" t="str">
        <f>IF(H12&gt;0,IF($I12="Tube 1.5","1 1/2 Tube",IF($I12="Tube 1.75","1 3/4 Tube",IF($I12="Tube 2.375","Heavy 2 in. Tube",IF($I12="Tube 1","1 in. Rollease"," "))))," ")</f>
        <v>Heavy 2 in. Tube</v>
      </c>
      <c r="G12" s="65" t="str">
        <f>+Worksheet!$C16</f>
        <v>Chapel east</v>
      </c>
      <c r="H12" s="56">
        <f>+Worksheet!$D16</f>
        <v>1</v>
      </c>
      <c r="I12" s="58" t="str">
        <f>Worksheet!$E16</f>
        <v>Tube 2.375</v>
      </c>
      <c r="J12" s="57" t="str">
        <f>IF(Worksheet!$K16&gt;0,Worksheet!$F16," ")</f>
        <v xml:space="preserve"> </v>
      </c>
      <c r="K12" s="127" t="str">
        <f>+Worksheet!$P16</f>
        <v>CX</v>
      </c>
      <c r="L12" s="105">
        <f>Worksheet!$Q16</f>
        <v>0</v>
      </c>
      <c r="M12" s="65">
        <f>+Worksheet!$K16</f>
        <v>0</v>
      </c>
      <c r="N12" s="55" t="str">
        <f>+Worksheet!$L16</f>
        <v>Seamed</v>
      </c>
    </row>
    <row r="13" spans="1:46" x14ac:dyDescent="0.25">
      <c r="A13" t="s">
        <v>33</v>
      </c>
      <c r="B13" s="8">
        <f>Worksheet!$AA$2</f>
        <v>33303</v>
      </c>
      <c r="C13" s="35" t="str">
        <f>+IF(H13&gt;0,Worksheet!$B17," ")</f>
        <v>P1-RS2</v>
      </c>
      <c r="D13" s="216">
        <f>IF(H13&gt;0,Tickets!$C$25," ")</f>
        <v>44.375</v>
      </c>
      <c r="E13" s="58">
        <f>IF(H$12&gt;0,Worksheet!$F17-2.5,IF(Worksheet!$J17&gt;0,Worksheet!$F17-3.25," "))</f>
        <v>43.25</v>
      </c>
      <c r="F13" s="7" t="str">
        <f t="shared" ref="F13:F36" si="0">IF(H13&gt;0,IF($I13="Tube 1.5","1 1/2 Tube",IF($I13="Tube 1.75","1 3/4 Tube",IF($I13="Tube 2.375","Heavy 2 in. Tube",IF($I13="Tube 1","1 in. Rollease"," "))))," ")</f>
        <v>Heavy 2 in. Tube</v>
      </c>
      <c r="G13" s="65" t="str">
        <f>+Worksheet!$C17</f>
        <v>Chapel West</v>
      </c>
      <c r="H13" s="56">
        <f>+Worksheet!$D17</f>
        <v>1</v>
      </c>
      <c r="I13" s="58" t="str">
        <f>Worksheet!$E17</f>
        <v>Tube 2.375</v>
      </c>
      <c r="J13" s="57">
        <f>IF(Worksheet!$K17&gt;0,Worksheet!$F17," ")</f>
        <v>45.75</v>
      </c>
      <c r="K13" s="127" t="str">
        <f>+Worksheet!$P17</f>
        <v>CX</v>
      </c>
      <c r="L13" s="105">
        <f>Worksheet!$Q17</f>
        <v>0</v>
      </c>
      <c r="M13" s="65" t="str">
        <f>+Worksheet!$K17</f>
        <v>White</v>
      </c>
      <c r="N13" s="55" t="str">
        <f>+Worksheet!$L17</f>
        <v>seamed</v>
      </c>
    </row>
    <row r="14" spans="1:46" x14ac:dyDescent="0.25">
      <c r="A14" t="s">
        <v>34</v>
      </c>
      <c r="B14" s="8">
        <f>Worksheet!$AA$2</f>
        <v>33303</v>
      </c>
      <c r="C14" s="35" t="str">
        <f>+IF(H14&gt;0,Worksheet!$B18," ")</f>
        <v>P1-RS3</v>
      </c>
      <c r="D14" s="216">
        <f>IF(H14&gt;0,Tickets!$C$37," ")</f>
        <v>35.125</v>
      </c>
      <c r="E14" s="58">
        <f>IF(H$12&gt;0,Worksheet!$F18-2.5,IF(Worksheet!$J18&gt;0,Worksheet!$F18-3.25," "))</f>
        <v>34</v>
      </c>
      <c r="F14" s="7" t="str">
        <f t="shared" si="0"/>
        <v>1 1/2 Tube</v>
      </c>
      <c r="G14" s="65" t="str">
        <f>+Worksheet!$C18</f>
        <v>Room 103</v>
      </c>
      <c r="H14" s="56">
        <f>+Worksheet!$D18</f>
        <v>1</v>
      </c>
      <c r="I14" s="58" t="str">
        <f>Worksheet!$E18</f>
        <v>Tube 1.5</v>
      </c>
      <c r="J14" s="57">
        <f>IF(Worksheet!$K18&gt;0,Worksheet!$F18," ")</f>
        <v>36.5</v>
      </c>
      <c r="K14" s="127" t="str">
        <f>+Worksheet!$P18</f>
        <v>CX</v>
      </c>
      <c r="L14" s="105">
        <f>Worksheet!$Q18</f>
        <v>0</v>
      </c>
      <c r="M14" s="65" t="str">
        <f>+Worksheet!$K18</f>
        <v>White</v>
      </c>
      <c r="N14" s="55" t="str">
        <f>+Worksheet!$L18</f>
        <v>seamed</v>
      </c>
    </row>
    <row r="15" spans="1:46" x14ac:dyDescent="0.25">
      <c r="A15" t="s">
        <v>31</v>
      </c>
      <c r="B15" s="8">
        <f>Worksheet!$AA$2</f>
        <v>33303</v>
      </c>
      <c r="C15" s="35" t="str">
        <f>+IF(H15&gt;0,Worksheet!$B19," ")</f>
        <v>P1-RS4</v>
      </c>
      <c r="D15" s="216">
        <f>IF(H15&gt;0,Tickets!$C$49," ")</f>
        <v>34.625</v>
      </c>
      <c r="E15" s="58">
        <f>IF(H$12&gt;0,Worksheet!$F19-2.5,IF(Worksheet!$J19&gt;0,Worksheet!$F19-3.25," "))</f>
        <v>33.5</v>
      </c>
      <c r="F15" s="7" t="str">
        <f t="shared" si="0"/>
        <v>1 1/2 Tube</v>
      </c>
      <c r="G15" s="65" t="str">
        <f>+Worksheet!$C19</f>
        <v>Room 104</v>
      </c>
      <c r="H15" s="56">
        <f>+Worksheet!$D19</f>
        <v>1</v>
      </c>
      <c r="I15" s="58" t="str">
        <f>Worksheet!$E19</f>
        <v>Tube 1.5</v>
      </c>
      <c r="J15" s="57">
        <f>IF(Worksheet!$K19&gt;0,Worksheet!$F19," ")</f>
        <v>36</v>
      </c>
      <c r="K15" s="127" t="str">
        <f>+Worksheet!$P19</f>
        <v>CX</v>
      </c>
      <c r="L15" s="105">
        <f>Worksheet!$Q19</f>
        <v>0</v>
      </c>
      <c r="M15" s="65" t="str">
        <f>+Worksheet!$K19</f>
        <v>White</v>
      </c>
      <c r="N15" s="55" t="str">
        <f>+Worksheet!$L19</f>
        <v>seamed</v>
      </c>
    </row>
    <row r="16" spans="1:46" x14ac:dyDescent="0.25">
      <c r="A16" t="s">
        <v>35</v>
      </c>
      <c r="B16" s="8">
        <f>Worksheet!$AA$2</f>
        <v>33303</v>
      </c>
      <c r="C16" s="35" t="str">
        <f>+IF(H16&gt;0,Worksheet!$B20," ")</f>
        <v>P1-RS5</v>
      </c>
      <c r="D16" s="216">
        <f>IF(H16&gt;0,Tickets!$C$61," ")</f>
        <v>34.375</v>
      </c>
      <c r="E16" s="58">
        <f>IF(H$12&gt;0,Worksheet!$F20-2.5,IF(Worksheet!$J20&gt;0,Worksheet!$F20-3.25," "))</f>
        <v>33.25</v>
      </c>
      <c r="F16" s="7" t="str">
        <f t="shared" si="0"/>
        <v>1 1/2 Tube</v>
      </c>
      <c r="G16" s="65" t="str">
        <f>+Worksheet!$C20</f>
        <v>Room 104</v>
      </c>
      <c r="H16" s="56">
        <f>+Worksheet!$D20</f>
        <v>1</v>
      </c>
      <c r="I16" s="58" t="str">
        <f>Worksheet!$E20</f>
        <v>Tube 1.5</v>
      </c>
      <c r="J16" s="57">
        <f>IF(Worksheet!$K20&gt;0,Worksheet!$F20," ")</f>
        <v>35.75</v>
      </c>
      <c r="K16" s="127" t="str">
        <f>+Worksheet!$P20</f>
        <v>CX</v>
      </c>
      <c r="L16" s="105">
        <f>Worksheet!$Q20</f>
        <v>0</v>
      </c>
      <c r="M16" s="65" t="str">
        <f>+Worksheet!$K20</f>
        <v>White</v>
      </c>
      <c r="N16" s="55" t="str">
        <f>+Worksheet!$L20</f>
        <v>seamed</v>
      </c>
    </row>
    <row r="17" spans="1:14" x14ac:dyDescent="0.25">
      <c r="A17" t="s">
        <v>36</v>
      </c>
      <c r="B17" s="8">
        <f>Worksheet!$AA$2</f>
        <v>33303</v>
      </c>
      <c r="C17" s="35" t="str">
        <f>+IF(H17&gt;0,Worksheet!$B21," ")</f>
        <v>P1-RS6</v>
      </c>
      <c r="D17" s="216">
        <f>IF(H17&gt;0,Tickets!$S$13," ")</f>
        <v>34.625</v>
      </c>
      <c r="E17" s="58">
        <f>IF(H$12&gt;0,Worksheet!$F21-2.5,IF(Worksheet!$J21&gt;0,Worksheet!$F21-3.25," "))</f>
        <v>33.5</v>
      </c>
      <c r="F17" s="7" t="str">
        <f t="shared" si="0"/>
        <v>1 1/2 Tube</v>
      </c>
      <c r="G17" s="65" t="str">
        <f>+Worksheet!$C21</f>
        <v>Room 104</v>
      </c>
      <c r="H17" s="56">
        <f>+Worksheet!$D21</f>
        <v>1</v>
      </c>
      <c r="I17" s="58" t="str">
        <f>Worksheet!$E21</f>
        <v>Tube 1.5</v>
      </c>
      <c r="J17" s="57">
        <f>IF(Worksheet!$K21&gt;0,Worksheet!$F21," ")</f>
        <v>36</v>
      </c>
      <c r="K17" s="127" t="str">
        <f>+Worksheet!$P21</f>
        <v>CX</v>
      </c>
      <c r="L17" s="105">
        <f>Worksheet!$Q21</f>
        <v>0</v>
      </c>
      <c r="M17" s="65" t="str">
        <f>+Worksheet!$K21</f>
        <v>White</v>
      </c>
      <c r="N17" s="55" t="str">
        <f>+Worksheet!$L21</f>
        <v>seamed</v>
      </c>
    </row>
    <row r="18" spans="1:14" x14ac:dyDescent="0.25">
      <c r="A18" t="s">
        <v>37</v>
      </c>
      <c r="B18" s="8">
        <f>Worksheet!$AA$2</f>
        <v>33303</v>
      </c>
      <c r="C18" s="35" t="str">
        <f>+IF(H18&gt;0,Worksheet!$B22," ")</f>
        <v>P1-RS7</v>
      </c>
      <c r="D18" s="216">
        <f>IF(H18&gt;0,Tickets!$S$25," ")</f>
        <v>34.875</v>
      </c>
      <c r="E18" s="58">
        <f>IF(H$12&gt;0,Worksheet!$F22-2.5,IF(Worksheet!$J22&gt;0,Worksheet!$F22-3.25," "))</f>
        <v>33.75</v>
      </c>
      <c r="F18" s="7" t="str">
        <f t="shared" si="0"/>
        <v>1 1/2 Tube</v>
      </c>
      <c r="G18" s="65" t="str">
        <f>+Worksheet!$C22</f>
        <v>Room 105</v>
      </c>
      <c r="H18" s="56">
        <f>+Worksheet!$D22</f>
        <v>1</v>
      </c>
      <c r="I18" s="58" t="str">
        <f>Worksheet!$E22</f>
        <v>Tube 1.5</v>
      </c>
      <c r="J18" s="57">
        <f>IF(Worksheet!$K22&gt;0,Worksheet!$F22," ")</f>
        <v>36.25</v>
      </c>
      <c r="K18" s="127" t="str">
        <f>+Worksheet!$P22</f>
        <v>CX</v>
      </c>
      <c r="L18" s="105">
        <f>Worksheet!$Q22</f>
        <v>0</v>
      </c>
      <c r="M18" s="65" t="str">
        <f>+Worksheet!$K22</f>
        <v>White</v>
      </c>
      <c r="N18" s="55" t="str">
        <f>+Worksheet!$L22</f>
        <v>seamed</v>
      </c>
    </row>
    <row r="19" spans="1:14" x14ac:dyDescent="0.25">
      <c r="A19" t="s">
        <v>38</v>
      </c>
      <c r="B19" s="8">
        <f>Worksheet!$AA$2</f>
        <v>33303</v>
      </c>
      <c r="C19" s="35" t="str">
        <f>+IF(H19&gt;0,Worksheet!$B23," ")</f>
        <v xml:space="preserve"> </v>
      </c>
      <c r="D19" s="216" t="str">
        <f>IF(H19&gt;0,Tickets!$S$37," ")</f>
        <v xml:space="preserve"> </v>
      </c>
      <c r="E19" s="58">
        <f>IF(H$12&gt;0,Worksheet!$F23-2.5,IF(Worksheet!$J23&gt;0,Worksheet!$F23-3.25," "))</f>
        <v>-2.5</v>
      </c>
      <c r="F19" s="7" t="str">
        <f t="shared" si="0"/>
        <v xml:space="preserve"> </v>
      </c>
      <c r="G19" s="65">
        <f>+Worksheet!$C23</f>
        <v>0</v>
      </c>
      <c r="H19" s="56">
        <f>+Worksheet!$D23</f>
        <v>0</v>
      </c>
      <c r="I19" s="58" t="str">
        <f>Worksheet!$E23</f>
        <v>Tube 1.5</v>
      </c>
      <c r="J19" s="57" t="str">
        <f>IF(Worksheet!$K23&gt;0,Worksheet!$F23," ")</f>
        <v xml:space="preserve"> </v>
      </c>
      <c r="K19" s="127">
        <f>+Worksheet!$P23</f>
        <v>0</v>
      </c>
      <c r="L19" s="105">
        <f>Worksheet!$Q23</f>
        <v>0</v>
      </c>
      <c r="M19" s="65">
        <f>+Worksheet!$K23</f>
        <v>0</v>
      </c>
      <c r="N19" s="55">
        <f>+Worksheet!$L23</f>
        <v>0</v>
      </c>
    </row>
    <row r="20" spans="1:14" x14ac:dyDescent="0.25">
      <c r="A20" t="s">
        <v>39</v>
      </c>
      <c r="B20" s="8">
        <f>Worksheet!$AA$2</f>
        <v>33303</v>
      </c>
      <c r="C20" s="35" t="str">
        <f>+IF(H20&gt;0,Worksheet!$B24," ")</f>
        <v xml:space="preserve"> </v>
      </c>
      <c r="D20" s="216" t="str">
        <f>IF(H20&gt;0,Tickets!$S$49," ")</f>
        <v xml:space="preserve"> </v>
      </c>
      <c r="E20" s="58">
        <f>IF(H$12&gt;0,Worksheet!$F24-2.5,IF(Worksheet!$J24&gt;0,Worksheet!$F24-3.25," "))</f>
        <v>-2.5</v>
      </c>
      <c r="F20" s="7" t="str">
        <f t="shared" si="0"/>
        <v xml:space="preserve"> </v>
      </c>
      <c r="G20" s="65">
        <f>+Worksheet!$C24</f>
        <v>0</v>
      </c>
      <c r="H20" s="56">
        <f>+Worksheet!$D24</f>
        <v>0</v>
      </c>
      <c r="I20" s="58" t="str">
        <f>Worksheet!$E24</f>
        <v>Tube 1.5</v>
      </c>
      <c r="J20" s="57" t="str">
        <f>IF(Worksheet!$K24&gt;0,Worksheet!$F24," ")</f>
        <v xml:space="preserve"> </v>
      </c>
      <c r="K20" s="127">
        <f>+Worksheet!$P24</f>
        <v>0</v>
      </c>
      <c r="L20" s="105">
        <f>Worksheet!$Q24</f>
        <v>0</v>
      </c>
      <c r="M20" s="65">
        <f>+Worksheet!$K24</f>
        <v>0</v>
      </c>
      <c r="N20" s="55">
        <f>+Worksheet!$L24</f>
        <v>0</v>
      </c>
    </row>
    <row r="21" spans="1:14" x14ac:dyDescent="0.25">
      <c r="A21" t="s">
        <v>40</v>
      </c>
      <c r="B21" s="8">
        <f>Worksheet!$AA$2</f>
        <v>33303</v>
      </c>
      <c r="C21" s="35" t="str">
        <f>+IF(H21&gt;0,Worksheet!$B25," ")</f>
        <v xml:space="preserve"> </v>
      </c>
      <c r="D21" s="216" t="str">
        <f>IF(H21&gt;0,Tickets!$S$61," ")</f>
        <v xml:space="preserve"> </v>
      </c>
      <c r="E21" s="58">
        <f>IF(H$12&gt;0,Worksheet!$F25-2.5,IF(Worksheet!$J25&gt;0,Worksheet!$F25-3.25," "))</f>
        <v>-2.5</v>
      </c>
      <c r="F21" s="7" t="str">
        <f t="shared" si="0"/>
        <v xml:space="preserve"> </v>
      </c>
      <c r="G21" s="65">
        <f>+Worksheet!$C25</f>
        <v>0</v>
      </c>
      <c r="H21" s="56">
        <f>+Worksheet!$D25</f>
        <v>0</v>
      </c>
      <c r="I21" s="58" t="str">
        <f>Worksheet!$E25</f>
        <v>Tube 1.5</v>
      </c>
      <c r="J21" s="57" t="str">
        <f>IF(Worksheet!$K25&gt;0,Worksheet!$F25," ")</f>
        <v xml:space="preserve"> </v>
      </c>
      <c r="K21" s="127">
        <f>+Worksheet!$P25</f>
        <v>0</v>
      </c>
      <c r="L21" s="105">
        <f>Worksheet!$Q25</f>
        <v>0</v>
      </c>
      <c r="M21" s="65">
        <f>+Worksheet!$K25</f>
        <v>0</v>
      </c>
      <c r="N21" s="55">
        <f>+Worksheet!$L25</f>
        <v>0</v>
      </c>
    </row>
    <row r="22" spans="1:14" x14ac:dyDescent="0.25">
      <c r="A22" t="s">
        <v>41</v>
      </c>
      <c r="B22" s="8">
        <f>Worksheet!$AA$2</f>
        <v>33303</v>
      </c>
      <c r="C22" s="35" t="str">
        <f>+IF(H22&gt;0,Worksheet!$B26," ")</f>
        <v xml:space="preserve"> </v>
      </c>
      <c r="D22" s="216" t="str">
        <f>IF(H22&gt;0,Tickets!$AI$13," ")</f>
        <v xml:space="preserve"> </v>
      </c>
      <c r="E22" s="58">
        <f>IF(H$12&gt;0,Worksheet!$F26-2.5,IF(Worksheet!$J26&gt;0,Worksheet!$F26-3.25," "))</f>
        <v>-2.5</v>
      </c>
      <c r="F22" s="7" t="str">
        <f t="shared" si="0"/>
        <v xml:space="preserve"> </v>
      </c>
      <c r="G22" s="65">
        <f>+Worksheet!$C26</f>
        <v>0</v>
      </c>
      <c r="H22" s="56">
        <f>+Worksheet!$D26</f>
        <v>0</v>
      </c>
      <c r="I22" s="58" t="str">
        <f>Worksheet!$E26</f>
        <v>Tube 1.5</v>
      </c>
      <c r="J22" s="57" t="str">
        <f>IF(Worksheet!$K26&gt;0,Worksheet!$F26," ")</f>
        <v xml:space="preserve"> </v>
      </c>
      <c r="K22" s="127">
        <f>+Worksheet!$P26</f>
        <v>0</v>
      </c>
      <c r="L22" s="105">
        <f>Worksheet!$Q26</f>
        <v>0</v>
      </c>
      <c r="M22" s="65">
        <f>+Worksheet!$K26</f>
        <v>0</v>
      </c>
      <c r="N22" s="55">
        <f>+Worksheet!$L26</f>
        <v>0</v>
      </c>
    </row>
    <row r="23" spans="1:14" x14ac:dyDescent="0.25">
      <c r="A23" t="s">
        <v>42</v>
      </c>
      <c r="B23" s="8">
        <f>Worksheet!$AA$2</f>
        <v>33303</v>
      </c>
      <c r="C23" s="35" t="str">
        <f>+IF(H23&gt;0,Worksheet!$B27," ")</f>
        <v xml:space="preserve"> </v>
      </c>
      <c r="D23" s="216" t="str">
        <f>IF(H23&gt;0,Tickets!$AI$25," ")</f>
        <v xml:space="preserve"> </v>
      </c>
      <c r="E23" s="58">
        <f>IF(H$12&gt;0,Worksheet!$F27-2.5,IF(Worksheet!$J27&gt;0,Worksheet!$F27-3.25," "))</f>
        <v>-2.5</v>
      </c>
      <c r="F23" s="7" t="str">
        <f t="shared" si="0"/>
        <v xml:space="preserve"> </v>
      </c>
      <c r="G23" s="65">
        <f>+Worksheet!$C27</f>
        <v>0</v>
      </c>
      <c r="H23" s="56">
        <f>+Worksheet!$D27</f>
        <v>0</v>
      </c>
      <c r="I23" s="58" t="str">
        <f>Worksheet!$E27</f>
        <v>Tube 1.5</v>
      </c>
      <c r="J23" s="57" t="str">
        <f>IF(Worksheet!$K27&gt;0,Worksheet!$F27," ")</f>
        <v xml:space="preserve"> </v>
      </c>
      <c r="K23" s="127">
        <f>+Worksheet!$P27</f>
        <v>0</v>
      </c>
      <c r="L23" s="105">
        <f>Worksheet!$Q27</f>
        <v>0</v>
      </c>
      <c r="M23" s="65">
        <f>+Worksheet!$K27</f>
        <v>0</v>
      </c>
      <c r="N23" s="55">
        <f>+Worksheet!$L27</f>
        <v>0</v>
      </c>
    </row>
    <row r="24" spans="1:14" x14ac:dyDescent="0.25">
      <c r="A24" t="s">
        <v>43</v>
      </c>
      <c r="B24" s="8">
        <f>Worksheet!$AA$2</f>
        <v>33303</v>
      </c>
      <c r="C24" s="35" t="str">
        <f>+IF(H24&gt;0,Worksheet!$B28," ")</f>
        <v xml:space="preserve"> </v>
      </c>
      <c r="D24" s="216" t="str">
        <f>IF(H24&gt;0,Tickets!$AI$37," ")</f>
        <v xml:space="preserve"> </v>
      </c>
      <c r="E24" s="58">
        <f>IF(H$12&gt;0,Worksheet!$F28-2.5,IF(Worksheet!$J28&gt;0,Worksheet!$F28-3.25," "))</f>
        <v>-2.5</v>
      </c>
      <c r="F24" s="7" t="str">
        <f t="shared" si="0"/>
        <v xml:space="preserve"> </v>
      </c>
      <c r="G24" s="65">
        <f>+Worksheet!$C28</f>
        <v>0</v>
      </c>
      <c r="H24" s="56">
        <f>+Worksheet!$D28</f>
        <v>0</v>
      </c>
      <c r="I24" s="58" t="str">
        <f>Worksheet!$E28</f>
        <v>Tube 1.5</v>
      </c>
      <c r="J24" s="57" t="str">
        <f>IF(Worksheet!$K28&gt;0,Worksheet!$F28," ")</f>
        <v xml:space="preserve"> </v>
      </c>
      <c r="K24" s="127">
        <f>+Worksheet!$P28</f>
        <v>0</v>
      </c>
      <c r="L24" s="105">
        <f>Worksheet!$Q28</f>
        <v>0</v>
      </c>
      <c r="M24" s="65">
        <f>+Worksheet!$K28</f>
        <v>0</v>
      </c>
      <c r="N24" s="55">
        <f>+Worksheet!$L28</f>
        <v>0</v>
      </c>
    </row>
    <row r="25" spans="1:14" x14ac:dyDescent="0.25">
      <c r="A25" t="s">
        <v>44</v>
      </c>
      <c r="B25" s="8">
        <f>Worksheet!$AA$2</f>
        <v>33303</v>
      </c>
      <c r="C25" s="35" t="str">
        <f>+IF(H25&gt;0,Worksheet!$B29," ")</f>
        <v xml:space="preserve"> </v>
      </c>
      <c r="D25" s="216" t="str">
        <f>IF(H25&gt;0,Tickets!$AI$49," ")</f>
        <v xml:space="preserve"> </v>
      </c>
      <c r="E25" s="58">
        <f>IF(H$12&gt;0,Worksheet!$F29-2.5,IF(Worksheet!$J29&gt;0,Worksheet!$F29-3.25," "))</f>
        <v>-2.5</v>
      </c>
      <c r="F25" s="7" t="str">
        <f t="shared" si="0"/>
        <v xml:space="preserve"> </v>
      </c>
      <c r="G25" s="65">
        <f>+Worksheet!$C29</f>
        <v>0</v>
      </c>
      <c r="H25" s="56">
        <f>+Worksheet!$D29</f>
        <v>0</v>
      </c>
      <c r="I25" s="58" t="str">
        <f>Worksheet!$E29</f>
        <v>Tube 1.5</v>
      </c>
      <c r="J25" s="57" t="str">
        <f>IF(Worksheet!$K29&gt;0,Worksheet!$F29," ")</f>
        <v xml:space="preserve"> </v>
      </c>
      <c r="K25" s="127">
        <f>+Worksheet!$P29</f>
        <v>0</v>
      </c>
      <c r="L25" s="105">
        <f>Worksheet!$Q29</f>
        <v>0</v>
      </c>
      <c r="M25" s="65">
        <f>+Worksheet!$K29</f>
        <v>0</v>
      </c>
      <c r="N25" s="55">
        <f>+Worksheet!$L29</f>
        <v>0</v>
      </c>
    </row>
    <row r="26" spans="1:14" x14ac:dyDescent="0.25">
      <c r="A26" t="s">
        <v>45</v>
      </c>
      <c r="B26" s="8">
        <f>Worksheet!$AA$2</f>
        <v>33303</v>
      </c>
      <c r="C26" s="35" t="str">
        <f>+IF(H26&gt;0,Worksheet!$B30," ")</f>
        <v xml:space="preserve"> </v>
      </c>
      <c r="D26" s="216" t="str">
        <f>IF(H26&gt;0,Tickets!$AI$61," ")</f>
        <v xml:space="preserve"> </v>
      </c>
      <c r="E26" s="58">
        <f>IF(H$12&gt;0,Worksheet!$F30-2.5,IF(Worksheet!$J30&gt;0,Worksheet!$F30-3.25," "))</f>
        <v>-2.5</v>
      </c>
      <c r="F26" s="7" t="str">
        <f t="shared" si="0"/>
        <v xml:space="preserve"> </v>
      </c>
      <c r="G26" s="65">
        <f>+Worksheet!$C30</f>
        <v>0</v>
      </c>
      <c r="H26" s="56">
        <f>+Worksheet!$D30</f>
        <v>0</v>
      </c>
      <c r="I26" s="58" t="str">
        <f>Worksheet!$E30</f>
        <v>Tube 1.5</v>
      </c>
      <c r="J26" s="57" t="str">
        <f>IF(Worksheet!$K30&gt;0,Worksheet!$F30," ")</f>
        <v xml:space="preserve"> </v>
      </c>
      <c r="K26" s="127">
        <f>+Worksheet!$P30</f>
        <v>0</v>
      </c>
      <c r="L26" s="105">
        <f>Worksheet!$Q30</f>
        <v>0</v>
      </c>
      <c r="M26" s="65">
        <f>+Worksheet!$K30</f>
        <v>0</v>
      </c>
      <c r="N26" s="55">
        <f>+Worksheet!$L30</f>
        <v>0</v>
      </c>
    </row>
    <row r="27" spans="1:14" x14ac:dyDescent="0.25">
      <c r="A27" t="s">
        <v>46</v>
      </c>
      <c r="B27" s="8">
        <f>Worksheet!$AA$2</f>
        <v>33303</v>
      </c>
      <c r="C27" s="35" t="str">
        <f>+IF(H27&gt;0,Worksheet!$B31," ")</f>
        <v xml:space="preserve"> </v>
      </c>
      <c r="D27" s="216" t="str">
        <f>IF(H27&gt;0,Tickets!$AY$13," ")</f>
        <v xml:space="preserve"> </v>
      </c>
      <c r="E27" s="58">
        <f>IF(H$12&gt;0,Worksheet!$F31-2.5,IF(Worksheet!$J31&gt;0,Worksheet!$F31-3.25," "))</f>
        <v>-2.5</v>
      </c>
      <c r="F27" s="7" t="str">
        <f t="shared" si="0"/>
        <v xml:space="preserve"> </v>
      </c>
      <c r="G27" s="65">
        <f>+Worksheet!$C31</f>
        <v>0</v>
      </c>
      <c r="H27" s="56">
        <f>+Worksheet!$D31</f>
        <v>0</v>
      </c>
      <c r="I27" s="58" t="str">
        <f>Worksheet!$E31</f>
        <v>Tube 1.5</v>
      </c>
      <c r="J27" s="57" t="str">
        <f>IF(Worksheet!$K31&gt;0,Worksheet!$F31," ")</f>
        <v xml:space="preserve"> </v>
      </c>
      <c r="K27" s="127">
        <f>+Worksheet!$P31</f>
        <v>0</v>
      </c>
      <c r="L27" s="105">
        <f>Worksheet!$Q31</f>
        <v>0</v>
      </c>
      <c r="M27" s="65">
        <f>+Worksheet!$K31</f>
        <v>0</v>
      </c>
      <c r="N27" s="55">
        <f>+Worksheet!$L31</f>
        <v>0</v>
      </c>
    </row>
    <row r="28" spans="1:14" x14ac:dyDescent="0.25">
      <c r="A28" t="s">
        <v>47</v>
      </c>
      <c r="B28" s="8">
        <f>Worksheet!$AA$2</f>
        <v>33303</v>
      </c>
      <c r="C28" s="35" t="str">
        <f>+IF(H28&gt;0,Worksheet!$B32," ")</f>
        <v xml:space="preserve"> </v>
      </c>
      <c r="D28" s="216" t="str">
        <f>IF(H28&gt;0,Tickets!$AY$25," ")</f>
        <v xml:space="preserve"> </v>
      </c>
      <c r="E28" s="58">
        <f>IF(H$12&gt;0,Worksheet!$F32-2.5,IF(Worksheet!$J32&gt;0,Worksheet!$F32-3.25," "))</f>
        <v>-2.5</v>
      </c>
      <c r="F28" s="7" t="str">
        <f t="shared" si="0"/>
        <v xml:space="preserve"> </v>
      </c>
      <c r="G28" s="65">
        <f>+Worksheet!$C32</f>
        <v>0</v>
      </c>
      <c r="H28" s="56">
        <f>+Worksheet!$D32</f>
        <v>0</v>
      </c>
      <c r="I28" s="58" t="str">
        <f>Worksheet!$E32</f>
        <v>Tube 1.5</v>
      </c>
      <c r="J28" s="57" t="str">
        <f>IF(Worksheet!$K32&gt;0,Worksheet!$F32," ")</f>
        <v xml:space="preserve"> </v>
      </c>
      <c r="K28" s="127">
        <f>+Worksheet!$P32</f>
        <v>0</v>
      </c>
      <c r="L28" s="105">
        <f>Worksheet!$Q32</f>
        <v>0</v>
      </c>
      <c r="M28" s="65">
        <f>+Worksheet!$K32</f>
        <v>0</v>
      </c>
      <c r="N28" s="55">
        <f>+Worksheet!$L32</f>
        <v>0</v>
      </c>
    </row>
    <row r="29" spans="1:14" x14ac:dyDescent="0.25">
      <c r="A29" t="s">
        <v>48</v>
      </c>
      <c r="B29" s="8">
        <f>Worksheet!$AA$2</f>
        <v>33303</v>
      </c>
      <c r="C29" s="35" t="str">
        <f>+IF(H29&gt;0,Worksheet!$B33," ")</f>
        <v xml:space="preserve"> </v>
      </c>
      <c r="D29" s="216" t="str">
        <f>IF(H29&gt;0,Tickets!$AY$37," ")</f>
        <v xml:space="preserve"> </v>
      </c>
      <c r="E29" s="58">
        <f>IF(H$12&gt;0,Worksheet!$F33-2.5,IF(Worksheet!$J33&gt;0,Worksheet!$F33-3.25," "))</f>
        <v>-2.5</v>
      </c>
      <c r="F29" s="7" t="str">
        <f t="shared" si="0"/>
        <v xml:space="preserve"> </v>
      </c>
      <c r="G29" s="65">
        <f>+Worksheet!$C33</f>
        <v>0</v>
      </c>
      <c r="H29" s="56">
        <f>+Worksheet!$D33</f>
        <v>0</v>
      </c>
      <c r="I29" s="58" t="str">
        <f>Worksheet!$E33</f>
        <v>Tube 1.5</v>
      </c>
      <c r="J29" s="57" t="str">
        <f>IF(Worksheet!$K33&gt;0,Worksheet!$F33," ")</f>
        <v xml:space="preserve"> </v>
      </c>
      <c r="K29" s="127">
        <f>+Worksheet!$P33</f>
        <v>0</v>
      </c>
      <c r="L29" s="105">
        <f>Worksheet!$Q33</f>
        <v>0</v>
      </c>
      <c r="M29" s="65">
        <f>+Worksheet!$K33</f>
        <v>0</v>
      </c>
      <c r="N29" s="55">
        <f>+Worksheet!$L33</f>
        <v>0</v>
      </c>
    </row>
    <row r="30" spans="1:14" x14ac:dyDescent="0.25">
      <c r="A30" t="s">
        <v>49</v>
      </c>
      <c r="B30" s="8">
        <f>Worksheet!$AA$2</f>
        <v>33303</v>
      </c>
      <c r="C30" s="35" t="str">
        <f>+IF(H30&gt;0,Worksheet!$B34," ")</f>
        <v xml:space="preserve"> </v>
      </c>
      <c r="D30" s="216" t="str">
        <f>IF(H30&gt;0,Tickets!$AY$49," ")</f>
        <v xml:space="preserve"> </v>
      </c>
      <c r="E30" s="58">
        <f>IF(H$12&gt;0,Worksheet!$F34-2.5,IF(Worksheet!$J34&gt;0,Worksheet!$F34-3.25," "))</f>
        <v>-2.5</v>
      </c>
      <c r="F30" s="7" t="str">
        <f t="shared" si="0"/>
        <v xml:space="preserve"> </v>
      </c>
      <c r="G30" s="65">
        <f>+Worksheet!$C34</f>
        <v>0</v>
      </c>
      <c r="H30" s="56">
        <f>+Worksheet!$D34</f>
        <v>0</v>
      </c>
      <c r="I30" s="58" t="str">
        <f>Worksheet!$E34</f>
        <v>Tube 1.5</v>
      </c>
      <c r="J30" s="57" t="str">
        <f>IF(Worksheet!$K34&gt;0,Worksheet!$F34," ")</f>
        <v xml:space="preserve"> </v>
      </c>
      <c r="K30" s="127">
        <f>+Worksheet!$P34</f>
        <v>0</v>
      </c>
      <c r="L30" s="105">
        <f>Worksheet!$Q34</f>
        <v>0</v>
      </c>
      <c r="M30" s="65">
        <f>+Worksheet!$K34</f>
        <v>0</v>
      </c>
      <c r="N30" s="55">
        <f>+Worksheet!$L34</f>
        <v>0</v>
      </c>
    </row>
    <row r="31" spans="1:14" x14ac:dyDescent="0.25">
      <c r="A31" t="s">
        <v>50</v>
      </c>
      <c r="B31" s="8">
        <f>Worksheet!$AA$2</f>
        <v>33303</v>
      </c>
      <c r="C31" s="35" t="str">
        <f>+IF(H31&gt;0,Worksheet!$B35," ")</f>
        <v xml:space="preserve"> </v>
      </c>
      <c r="D31" s="216" t="str">
        <f>IF(H31&gt;0,Tickets!$AY$61," ")</f>
        <v xml:space="preserve"> </v>
      </c>
      <c r="E31" s="58">
        <f>IF(H$12&gt;0,Worksheet!$F35-2.5,IF(Worksheet!$J35&gt;0,Worksheet!$F35-3.25," "))</f>
        <v>-2.5</v>
      </c>
      <c r="F31" s="7" t="str">
        <f t="shared" si="0"/>
        <v xml:space="preserve"> </v>
      </c>
      <c r="G31" s="65">
        <f>+Worksheet!$C35</f>
        <v>0</v>
      </c>
      <c r="H31" s="56">
        <f>+Worksheet!$D35</f>
        <v>0</v>
      </c>
      <c r="I31" s="58" t="str">
        <f>Worksheet!$E35</f>
        <v>Tube 1.5</v>
      </c>
      <c r="J31" s="57" t="str">
        <f>IF(Worksheet!$K35&gt;0,Worksheet!$F35," ")</f>
        <v xml:space="preserve"> </v>
      </c>
      <c r="K31" s="127">
        <f>+Worksheet!$P35</f>
        <v>0</v>
      </c>
      <c r="L31" s="105">
        <f>Worksheet!$Q35</f>
        <v>0</v>
      </c>
      <c r="M31" s="65">
        <f>+Worksheet!$K35</f>
        <v>0</v>
      </c>
      <c r="N31" s="55">
        <f>+Worksheet!$L35</f>
        <v>0</v>
      </c>
    </row>
    <row r="32" spans="1:14" x14ac:dyDescent="0.25">
      <c r="A32" t="s">
        <v>182</v>
      </c>
      <c r="B32" s="8">
        <f>Worksheet!$AA$2</f>
        <v>33303</v>
      </c>
      <c r="C32" s="35" t="str">
        <f>+IF(H32&gt;0,Worksheet!$B36," ")</f>
        <v xml:space="preserve"> </v>
      </c>
      <c r="D32" s="216" t="str">
        <f>IF(H32&gt;0,Tickets!$BO$13," ")</f>
        <v xml:space="preserve"> </v>
      </c>
      <c r="E32" s="58">
        <f>IF(H$12&gt;0,Worksheet!$F36-2.5,IF(Worksheet!$J36&gt;0,Worksheet!$F36-3.25," "))</f>
        <v>-2.5</v>
      </c>
      <c r="F32" s="7" t="str">
        <f t="shared" si="0"/>
        <v xml:space="preserve"> </v>
      </c>
      <c r="G32" s="65">
        <f>+Worksheet!$C36</f>
        <v>0</v>
      </c>
      <c r="H32" s="56">
        <f>+Worksheet!$D36</f>
        <v>0</v>
      </c>
      <c r="I32" s="58" t="str">
        <f>Worksheet!$E36</f>
        <v>Tube 1.5</v>
      </c>
      <c r="J32" s="57" t="str">
        <f>IF(Worksheet!$K36&gt;0,Worksheet!$F36," ")</f>
        <v xml:space="preserve"> </v>
      </c>
      <c r="K32" s="127">
        <f>+Worksheet!$P36</f>
        <v>0</v>
      </c>
      <c r="L32" s="105">
        <f>Worksheet!$Q36</f>
        <v>0</v>
      </c>
      <c r="M32" s="65">
        <f>+Worksheet!$K36</f>
        <v>0</v>
      </c>
      <c r="N32" s="55">
        <f>+Worksheet!$L36</f>
        <v>0</v>
      </c>
    </row>
    <row r="33" spans="1:14" x14ac:dyDescent="0.25">
      <c r="A33" t="s">
        <v>183</v>
      </c>
      <c r="B33" s="8">
        <f>Worksheet!$AA$2</f>
        <v>33303</v>
      </c>
      <c r="C33" s="35" t="str">
        <f>+IF(H33&gt;0,Worksheet!$B37," ")</f>
        <v xml:space="preserve"> </v>
      </c>
      <c r="D33" s="216" t="str">
        <f>IF(H33&gt;0,Tickets!$BO$25," ")</f>
        <v xml:space="preserve"> </v>
      </c>
      <c r="E33" s="58">
        <f>IF(H$12&gt;0,Worksheet!$F37-2.5,IF(Worksheet!$J37&gt;0,Worksheet!$F37-3.25," "))</f>
        <v>-2.5</v>
      </c>
      <c r="F33" s="7" t="str">
        <f t="shared" si="0"/>
        <v xml:space="preserve"> </v>
      </c>
      <c r="G33" s="65">
        <f>+Worksheet!$C37</f>
        <v>0</v>
      </c>
      <c r="H33" s="56">
        <f>+Worksheet!$D37</f>
        <v>0</v>
      </c>
      <c r="I33" s="58" t="str">
        <f>Worksheet!$E37</f>
        <v>Tube 1.5</v>
      </c>
      <c r="J33" s="57" t="str">
        <f>IF(Worksheet!$K37&gt;0,Worksheet!$F37," ")</f>
        <v xml:space="preserve"> </v>
      </c>
      <c r="K33" s="127">
        <f>+Worksheet!$P37</f>
        <v>0</v>
      </c>
      <c r="L33" s="105">
        <f>Worksheet!$Q37</f>
        <v>0</v>
      </c>
      <c r="M33" s="65">
        <f>+Worksheet!$K37</f>
        <v>0</v>
      </c>
      <c r="N33" s="55">
        <f>+Worksheet!$L37</f>
        <v>0</v>
      </c>
    </row>
    <row r="34" spans="1:14" x14ac:dyDescent="0.25">
      <c r="A34" t="s">
        <v>184</v>
      </c>
      <c r="B34" s="8">
        <f>Worksheet!$AA$2</f>
        <v>33303</v>
      </c>
      <c r="C34" s="35" t="str">
        <f>+IF(H34&gt;0,Worksheet!$B38," ")</f>
        <v xml:space="preserve"> </v>
      </c>
      <c r="D34" s="216" t="str">
        <f>IF(H34&gt;0,Tickets!$BO$37," ")</f>
        <v xml:space="preserve"> </v>
      </c>
      <c r="E34" s="58">
        <f>IF(H$12&gt;0,Worksheet!$F38-2.5,IF(Worksheet!$J38&gt;0,Worksheet!$F38-3.25," "))</f>
        <v>-2.5</v>
      </c>
      <c r="F34" s="7" t="str">
        <f t="shared" si="0"/>
        <v xml:space="preserve"> </v>
      </c>
      <c r="G34" s="65">
        <f>+Worksheet!$C38</f>
        <v>0</v>
      </c>
      <c r="H34" s="56">
        <f>+Worksheet!$D38</f>
        <v>0</v>
      </c>
      <c r="I34" s="58" t="str">
        <f>Worksheet!$E38</f>
        <v>Tube 1.5</v>
      </c>
      <c r="J34" s="57" t="str">
        <f>IF(Worksheet!$K38&gt;0,Worksheet!$F38," ")</f>
        <v xml:space="preserve"> </v>
      </c>
      <c r="K34" s="127">
        <f>+Worksheet!$P38</f>
        <v>0</v>
      </c>
      <c r="L34" s="105">
        <f>Worksheet!$Q38</f>
        <v>0</v>
      </c>
      <c r="M34" s="65">
        <f>+Worksheet!$K38</f>
        <v>0</v>
      </c>
      <c r="N34" s="55">
        <f>+Worksheet!$L38</f>
        <v>0</v>
      </c>
    </row>
    <row r="35" spans="1:14" x14ac:dyDescent="0.25">
      <c r="A35" t="s">
        <v>185</v>
      </c>
      <c r="B35" s="8">
        <f>Worksheet!$AA$2</f>
        <v>33303</v>
      </c>
      <c r="C35" s="35" t="str">
        <f>+IF(H35&gt;0,Worksheet!$B39," ")</f>
        <v xml:space="preserve"> </v>
      </c>
      <c r="D35" s="216" t="str">
        <f>IF(H35&gt;0,Tickets!$BO$49," ")</f>
        <v xml:space="preserve"> </v>
      </c>
      <c r="E35" s="58">
        <f>IF(H$12&gt;0,Worksheet!$F39-2.5,IF(Worksheet!$J39&gt;0,Worksheet!$F39-3.25," "))</f>
        <v>-2.5</v>
      </c>
      <c r="F35" s="7" t="str">
        <f t="shared" si="0"/>
        <v xml:space="preserve"> </v>
      </c>
      <c r="G35" s="65">
        <f>+Worksheet!$C39</f>
        <v>0</v>
      </c>
      <c r="H35" s="56">
        <f>+Worksheet!$D39</f>
        <v>0</v>
      </c>
      <c r="I35" s="58" t="str">
        <f>Worksheet!$E39</f>
        <v>Tube 1.5</v>
      </c>
      <c r="J35" s="57" t="str">
        <f>IF(Worksheet!$K39&gt;0,Worksheet!$F39," ")</f>
        <v xml:space="preserve"> </v>
      </c>
      <c r="K35" s="127">
        <f>+Worksheet!$P39</f>
        <v>0</v>
      </c>
      <c r="L35" s="105">
        <f>Worksheet!$Q39</f>
        <v>0</v>
      </c>
      <c r="M35" s="65">
        <f>+Worksheet!$K39</f>
        <v>0</v>
      </c>
      <c r="N35" s="55">
        <f>+Worksheet!$L39</f>
        <v>0</v>
      </c>
    </row>
    <row r="36" spans="1:14" x14ac:dyDescent="0.25">
      <c r="A36" t="s">
        <v>186</v>
      </c>
      <c r="B36" s="8">
        <f>Worksheet!$AA$2</f>
        <v>33303</v>
      </c>
      <c r="C36" s="35" t="str">
        <f>+IF(H36&gt;0,Worksheet!$B40," ")</f>
        <v xml:space="preserve"> </v>
      </c>
      <c r="D36" s="216" t="str">
        <f>IF(H36&gt;0,Tickets!$BO$61," ")</f>
        <v xml:space="preserve"> </v>
      </c>
      <c r="E36" s="58">
        <f>IF(H$12&gt;0,Worksheet!$F40-2.5,IF(Worksheet!$J40&gt;0,Worksheet!$F40-3.25," "))</f>
        <v>-2.5</v>
      </c>
      <c r="F36" s="7" t="str">
        <f t="shared" si="0"/>
        <v xml:space="preserve"> </v>
      </c>
      <c r="G36" s="65">
        <f>+Worksheet!$C40</f>
        <v>0</v>
      </c>
      <c r="H36" s="56">
        <f>+Worksheet!$D40</f>
        <v>0</v>
      </c>
      <c r="I36" s="58" t="str">
        <f>Worksheet!$E40</f>
        <v>Tube 1.5</v>
      </c>
      <c r="J36" s="57" t="str">
        <f>IF(Worksheet!$K40&gt;0,Worksheet!$F40," ")</f>
        <v xml:space="preserve"> </v>
      </c>
      <c r="K36" s="127">
        <f>+Worksheet!$P40</f>
        <v>0</v>
      </c>
      <c r="L36" s="105">
        <f>Worksheet!$Q40</f>
        <v>0</v>
      </c>
      <c r="M36" s="65">
        <f>+Worksheet!$K40</f>
        <v>0</v>
      </c>
      <c r="N36" s="55">
        <f>+Worksheet!$L40</f>
        <v>0</v>
      </c>
    </row>
    <row r="37" spans="1:14" s="9" customFormat="1" ht="15" x14ac:dyDescent="0.25">
      <c r="B37" s="60"/>
      <c r="C37" s="59"/>
      <c r="E37" s="60"/>
      <c r="H37" s="60">
        <f>SUM(H12:H36)</f>
        <v>7</v>
      </c>
      <c r="I37" s="9" t="s">
        <v>8</v>
      </c>
      <c r="J37" s="61"/>
    </row>
    <row r="38" spans="1:14" ht="22.8" x14ac:dyDescent="0.4">
      <c r="C38" s="351" t="s">
        <v>2623</v>
      </c>
      <c r="D38" s="67">
        <f>Worksheet!O5</f>
        <v>1</v>
      </c>
      <c r="G38" s="46" t="s">
        <v>218</v>
      </c>
    </row>
    <row r="39" spans="1:14" ht="20.399999999999999" customHeight="1" x14ac:dyDescent="0.25">
      <c r="G39" s="117" t="s">
        <v>2620</v>
      </c>
      <c r="I39" s="1"/>
      <c r="J39" s="85"/>
      <c r="K39" s="8"/>
      <c r="L39" s="217" t="s">
        <v>2618</v>
      </c>
      <c r="N39" s="1"/>
    </row>
    <row r="40" spans="1:14" ht="24" customHeight="1" x14ac:dyDescent="0.25">
      <c r="G40" s="84" t="s">
        <v>217</v>
      </c>
      <c r="I40" s="1"/>
      <c r="J40" s="85"/>
      <c r="K40" s="8"/>
      <c r="L40" s="217" t="s">
        <v>2619</v>
      </c>
      <c r="N40" s="1"/>
    </row>
  </sheetData>
  <mergeCells count="1">
    <mergeCell ref="C3:C4"/>
  </mergeCells>
  <conditionalFormatting sqref="M12:M36">
    <cfRule type="containsText" dxfId="18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30FB-1055-417F-8ED6-E28FACFC8C1A}">
  <dimension ref="A1:V57"/>
  <sheetViews>
    <sheetView showGridLines="0" view="pageBreakPreview" zoomScaleNormal="100" zoomScaleSheetLayoutView="100" workbookViewId="0">
      <selection activeCell="Q2" sqref="Q2:R2"/>
    </sheetView>
  </sheetViews>
  <sheetFormatPr defaultColWidth="8.88671875" defaultRowHeight="13.2" x14ac:dyDescent="0.25"/>
  <cols>
    <col min="1" max="1" width="8.88671875" style="354"/>
    <col min="2" max="2" width="9.5546875" style="449" customWidth="1"/>
    <col min="3" max="3" width="16" style="354" customWidth="1"/>
    <col min="4" max="4" width="3.109375" style="358" customWidth="1"/>
    <col min="5" max="5" width="8" style="354" customWidth="1"/>
    <col min="6" max="6" width="7" style="450" customWidth="1"/>
    <col min="7" max="7" width="2.109375" style="354" customWidth="1"/>
    <col min="8" max="8" width="7.109375" style="451" customWidth="1"/>
    <col min="9" max="9" width="3.44140625" style="354" customWidth="1"/>
    <col min="10" max="10" width="5.109375" style="354" customWidth="1"/>
    <col min="11" max="11" width="6.5546875" style="354" customWidth="1"/>
    <col min="12" max="12" width="7.6640625" style="354" customWidth="1"/>
    <col min="13" max="13" width="28.5546875" style="354" customWidth="1"/>
    <col min="14" max="14" width="1.109375" style="354" customWidth="1"/>
    <col min="15" max="15" width="29.109375" style="354" customWidth="1"/>
    <col min="16" max="16" width="5.109375" style="354" customWidth="1"/>
    <col min="17" max="17" width="5.88671875" style="354" customWidth="1"/>
    <col min="18" max="18" width="7.44140625" style="354" customWidth="1"/>
    <col min="19" max="16384" width="8.88671875" style="354"/>
  </cols>
  <sheetData>
    <row r="1" spans="2:18" ht="7.5" customHeight="1" thickBot="1" x14ac:dyDescent="0.3"/>
    <row r="2" spans="2:18" ht="21.6" thickBot="1" x14ac:dyDescent="0.45">
      <c r="J2" s="495" t="s">
        <v>86</v>
      </c>
      <c r="P2" s="42" t="s">
        <v>2629</v>
      </c>
      <c r="Q2" s="620">
        <f>Worksheet!AA2</f>
        <v>33303</v>
      </c>
      <c r="R2" s="621"/>
    </row>
    <row r="3" spans="2:18" ht="12" customHeight="1" x14ac:dyDescent="0.3">
      <c r="B3" s="453"/>
      <c r="K3" s="454" t="str">
        <f>IF(Worksheet!$O$12,"*Final Measurements*","")</f>
        <v/>
      </c>
      <c r="M3" s="455">
        <f ca="1">TODAY()</f>
        <v>45653</v>
      </c>
      <c r="N3" s="455"/>
      <c r="P3" s="456"/>
    </row>
    <row r="4" spans="2:18" ht="12" customHeight="1" thickBot="1" x14ac:dyDescent="0.3">
      <c r="D4" s="457"/>
      <c r="O4" s="231"/>
      <c r="P4" s="232"/>
      <c r="Q4" s="231"/>
      <c r="R4" s="231"/>
    </row>
    <row r="5" spans="2:18" ht="13.5" customHeight="1" thickBot="1" x14ac:dyDescent="0.3">
      <c r="B5" s="622" t="s">
        <v>2634</v>
      </c>
      <c r="C5" s="622"/>
      <c r="D5" s="622"/>
      <c r="E5" s="622"/>
      <c r="F5" s="622"/>
      <c r="G5" s="622"/>
      <c r="H5" s="622"/>
      <c r="I5" s="622"/>
      <c r="J5" s="468"/>
      <c r="K5" s="458" t="s">
        <v>1</v>
      </c>
      <c r="L5" s="462" t="str">
        <f>IF(Worksheet!J5&gt;0,Worksheet!J5," ")</f>
        <v>Cottonwood Creek WO#I5187109-00104</v>
      </c>
      <c r="M5" s="464"/>
      <c r="N5" s="509"/>
      <c r="O5" s="465" t="s">
        <v>2544</v>
      </c>
      <c r="P5" s="466">
        <f>Worksheet!O5</f>
        <v>1</v>
      </c>
      <c r="Q5" s="234"/>
      <c r="R5" s="235"/>
    </row>
    <row r="6" spans="2:18" ht="13.5" customHeight="1" x14ac:dyDescent="0.25">
      <c r="B6" s="622"/>
      <c r="C6" s="622"/>
      <c r="D6" s="622"/>
      <c r="E6" s="622"/>
      <c r="F6" s="622"/>
      <c r="G6" s="622"/>
      <c r="H6" s="622"/>
      <c r="I6" s="622"/>
      <c r="J6" s="468"/>
      <c r="L6" s="462" t="str">
        <f>IF(Worksheet!J6&gt;0,Worksheet!J6," ")</f>
        <v>1800 W 1800 N</v>
      </c>
      <c r="M6" s="463"/>
      <c r="N6" s="468"/>
      <c r="O6" s="234"/>
      <c r="P6" s="469"/>
      <c r="Q6" s="469"/>
      <c r="R6" s="468"/>
    </row>
    <row r="7" spans="2:18" ht="13.5" customHeight="1" x14ac:dyDescent="0.3">
      <c r="B7" s="622"/>
      <c r="C7" s="622"/>
      <c r="D7" s="622"/>
      <c r="E7" s="622"/>
      <c r="F7" s="622"/>
      <c r="G7" s="622"/>
      <c r="H7" s="622"/>
      <c r="I7" s="622"/>
      <c r="J7" s="468"/>
      <c r="L7" s="462" t="str">
        <f>IF(Worksheet!J7&gt;0,Worksheet!J7," ")</f>
        <v>Farr West, UT 84404</v>
      </c>
      <c r="M7" s="463"/>
      <c r="N7" s="468"/>
      <c r="O7" s="303" t="s">
        <v>2589</v>
      </c>
      <c r="P7" s="605" t="str">
        <f>IF(Worksheet!$O$7&gt;0,Worksheet!$O$7," ")</f>
        <v xml:space="preserve"> </v>
      </c>
      <c r="Q7" s="606"/>
      <c r="R7" s="468"/>
    </row>
    <row r="8" spans="2:18" ht="13.5" customHeight="1" x14ac:dyDescent="0.3">
      <c r="B8" s="496"/>
      <c r="C8" s="497"/>
      <c r="D8" s="498"/>
      <c r="E8" s="498"/>
      <c r="F8" s="498"/>
      <c r="G8" s="498"/>
      <c r="H8" s="498"/>
      <c r="I8" s="498"/>
      <c r="J8" s="468"/>
      <c r="K8" s="458" t="s">
        <v>192</v>
      </c>
      <c r="L8" s="354" t="str">
        <f>IF(Worksheet!J8&gt;0,Worksheet!J8," ")</f>
        <v>Key Box #7109 East Kitchen Door</v>
      </c>
      <c r="M8" s="468"/>
      <c r="N8" s="468"/>
      <c r="O8" s="234"/>
      <c r="P8" s="35" t="s">
        <v>193</v>
      </c>
      <c r="Q8" s="469"/>
      <c r="R8" s="468"/>
    </row>
    <row r="9" spans="2:18" ht="13.5" customHeight="1" x14ac:dyDescent="0.3">
      <c r="B9" s="496"/>
      <c r="C9" s="497"/>
      <c r="D9" s="499" t="s">
        <v>2635</v>
      </c>
      <c r="E9" s="500"/>
      <c r="F9" s="500"/>
      <c r="G9" s="500"/>
      <c r="H9" s="500"/>
      <c r="I9" s="498"/>
      <c r="J9" s="468"/>
      <c r="K9" s="458" t="s">
        <v>11</v>
      </c>
      <c r="L9" s="623" t="str">
        <f>IF(Worksheet!J9&gt;0,Worksheet!J9," ")</f>
        <v xml:space="preserve"> </v>
      </c>
      <c r="M9" s="623"/>
      <c r="N9" s="358"/>
      <c r="O9" s="508" t="str">
        <f>IF(Worksheet!$C$9&gt;0,Worksheet!$C$9," ")</f>
        <v xml:space="preserve"> </v>
      </c>
      <c r="P9" s="35" t="s">
        <v>11</v>
      </c>
      <c r="Q9" s="234"/>
      <c r="R9" s="235"/>
    </row>
    <row r="10" spans="2:18" ht="13.5" customHeight="1" x14ac:dyDescent="0.3">
      <c r="B10" s="496"/>
      <c r="C10" s="497"/>
      <c r="D10" s="498"/>
      <c r="E10" s="498"/>
      <c r="F10" s="498"/>
      <c r="G10" s="498"/>
      <c r="H10" s="498"/>
      <c r="I10" s="498"/>
      <c r="J10" s="468"/>
      <c r="K10" s="458" t="s">
        <v>5</v>
      </c>
      <c r="L10" s="624" t="str">
        <f>IF(Worksheet!J10&gt;0,Worksheet!J10," ")</f>
        <v xml:space="preserve"> </v>
      </c>
      <c r="M10" s="624"/>
      <c r="O10" s="508" t="str">
        <f>IF(Worksheet!$C$10&gt;0,Worksheet!$C$10," ")</f>
        <v xml:space="preserve"> </v>
      </c>
      <c r="P10" s="35" t="s">
        <v>5</v>
      </c>
      <c r="Q10" s="469"/>
      <c r="R10" s="468"/>
    </row>
    <row r="11" spans="2:18" ht="13.5" customHeight="1" x14ac:dyDescent="0.3">
      <c r="B11" s="496"/>
      <c r="C11" s="501"/>
      <c r="D11" s="499" t="s">
        <v>2636</v>
      </c>
      <c r="E11" s="500"/>
      <c r="F11" s="500"/>
      <c r="G11" s="500"/>
      <c r="H11" s="500"/>
      <c r="I11" s="498"/>
      <c r="J11" s="468"/>
      <c r="K11" s="458" t="s">
        <v>203</v>
      </c>
      <c r="L11" s="624" t="str">
        <f>IF(Worksheet!J11&gt;0,Worksheet!J11," ")</f>
        <v xml:space="preserve"> </v>
      </c>
      <c r="M11" s="624"/>
      <c r="O11" s="508" t="str">
        <f>IF(Worksheet!$C$11&gt;0,Worksheet!$C$11," ")</f>
        <v xml:space="preserve"> </v>
      </c>
      <c r="P11" s="116" t="s">
        <v>2637</v>
      </c>
      <c r="Q11" s="469"/>
      <c r="R11" s="468"/>
    </row>
    <row r="12" spans="2:18" ht="13.5" customHeight="1" x14ac:dyDescent="0.3">
      <c r="B12" s="496"/>
      <c r="C12" s="497"/>
      <c r="D12" s="608" t="s">
        <v>2633</v>
      </c>
      <c r="E12" s="498"/>
      <c r="F12" s="498"/>
      <c r="G12" s="498"/>
      <c r="H12" s="498"/>
      <c r="I12" s="498"/>
      <c r="J12" s="468"/>
      <c r="K12" s="458" t="s">
        <v>187</v>
      </c>
      <c r="L12" s="625" t="str">
        <f>IF(Worksheet!J12&gt;0,Worksheet!J12," ")</f>
        <v xml:space="preserve"> </v>
      </c>
      <c r="M12" s="625"/>
      <c r="O12" s="508" t="str">
        <f>IF(Worksheet!$C$12&gt;0,Worksheet!$C$12," ")</f>
        <v xml:space="preserve"> </v>
      </c>
      <c r="P12" s="35" t="s">
        <v>187</v>
      </c>
      <c r="Q12" s="237"/>
      <c r="R12" s="238"/>
    </row>
    <row r="13" spans="2:18" ht="30.75" customHeight="1" x14ac:dyDescent="0.3">
      <c r="B13" s="496"/>
      <c r="C13" s="497"/>
      <c r="D13" s="608"/>
      <c r="E13" s="498"/>
      <c r="F13" s="498"/>
      <c r="G13" s="498"/>
      <c r="H13" s="498"/>
      <c r="I13" s="498"/>
      <c r="J13" s="468"/>
      <c r="K13" s="458"/>
      <c r="L13" s="625" t="str">
        <f>IF(Worksheet!J13&gt;0,Worksheet!J13," ")</f>
        <v xml:space="preserve"> </v>
      </c>
      <c r="M13" s="625"/>
      <c r="N13" s="468"/>
      <c r="O13" s="469"/>
      <c r="P13" s="237"/>
      <c r="Q13" s="237"/>
      <c r="R13" s="238"/>
    </row>
    <row r="14" spans="2:18" ht="12.75" customHeight="1" x14ac:dyDescent="0.25">
      <c r="D14" s="608"/>
      <c r="O14" s="471"/>
      <c r="P14" s="472"/>
      <c r="Q14" s="472"/>
      <c r="R14" s="473" t="s">
        <v>2590</v>
      </c>
    </row>
    <row r="15" spans="2:18" ht="12.75" customHeight="1" x14ac:dyDescent="0.25">
      <c r="D15" s="608"/>
      <c r="I15" s="356" t="s">
        <v>76</v>
      </c>
      <c r="J15" s="356" t="s">
        <v>13</v>
      </c>
      <c r="K15" s="356" t="s">
        <v>80</v>
      </c>
      <c r="L15" s="356" t="s">
        <v>16</v>
      </c>
      <c r="M15" s="356" t="s">
        <v>18</v>
      </c>
      <c r="N15" s="356"/>
      <c r="P15" s="474"/>
      <c r="Q15" s="473" t="s">
        <v>205</v>
      </c>
      <c r="R15" s="473" t="s">
        <v>250</v>
      </c>
    </row>
    <row r="16" spans="2:18" ht="13.65" customHeight="1" x14ac:dyDescent="0.3">
      <c r="C16" s="356" t="s">
        <v>2</v>
      </c>
      <c r="D16" s="608"/>
      <c r="E16" s="475" t="s">
        <v>2511</v>
      </c>
      <c r="F16" s="476" t="s">
        <v>3</v>
      </c>
      <c r="G16" s="477"/>
      <c r="H16" s="478"/>
      <c r="I16" s="356" t="s">
        <v>77</v>
      </c>
      <c r="J16" s="356" t="s">
        <v>14</v>
      </c>
      <c r="K16" s="356" t="s">
        <v>15</v>
      </c>
      <c r="L16" s="356" t="s">
        <v>15</v>
      </c>
      <c r="M16" s="356" t="s">
        <v>17</v>
      </c>
      <c r="N16" s="356"/>
      <c r="O16" s="356" t="s">
        <v>249</v>
      </c>
      <c r="P16" s="479" t="s">
        <v>248</v>
      </c>
      <c r="Q16" s="480" t="s">
        <v>206</v>
      </c>
      <c r="R16" s="480" t="s">
        <v>13</v>
      </c>
    </row>
    <row r="17" spans="1:18" ht="12.75" customHeight="1" x14ac:dyDescent="0.25">
      <c r="A17" s="354" t="s">
        <v>32</v>
      </c>
      <c r="B17" s="449" t="str">
        <f>HLOOKUP($P$5,'Data Sheet'!$B$2:$CM$27,2,FALSE)</f>
        <v>P1-RS1</v>
      </c>
      <c r="C17" s="481" t="str">
        <f>IF(Worksheet!C16&gt;0,Worksheet!C16," ")</f>
        <v>Chapel east</v>
      </c>
      <c r="D17" s="502"/>
      <c r="E17" s="483" t="str">
        <f>Worksheet!E16</f>
        <v>Tube 2.375</v>
      </c>
      <c r="F17" s="504">
        <f>IF(Worksheet!F16&gt;0,Worksheet!F16," ")</f>
        <v>45</v>
      </c>
      <c r="G17" s="484" t="s">
        <v>4</v>
      </c>
      <c r="H17" s="518">
        <f>IF(Worksheet!H16&gt;0,Worksheet!H16," ")</f>
        <v>135</v>
      </c>
      <c r="I17" s="481" t="str">
        <f>IF(Worksheet!I16&gt;0,Worksheet!I16," ")</f>
        <v>IB</v>
      </c>
      <c r="J17" s="481" t="str">
        <f>IF(Worksheet!J16&gt;0,Worksheet!J16," ")</f>
        <v xml:space="preserve"> </v>
      </c>
      <c r="K17" s="481" t="str">
        <f>IF(Worksheet!K16&gt;0,Worksheet!K16," ")</f>
        <v xml:space="preserve"> </v>
      </c>
      <c r="L17" s="481" t="str">
        <f>IF(Worksheet!L16&gt;0,Worksheet!L16," ")</f>
        <v>Seamed</v>
      </c>
      <c r="M17" s="481" t="str">
        <f>IF(Worksheet!M16&gt;0,Worksheet!M16," ")</f>
        <v>Panta Flex Linen</v>
      </c>
      <c r="O17" s="481" t="str">
        <f>IF(Worksheet!N16&gt;0,Worksheet!N16," ")</f>
        <v>REVERSE ROLL</v>
      </c>
      <c r="P17" s="481" t="str">
        <f>IF(Worksheet!O16&gt;0,Worksheet!O16," ")</f>
        <v>V</v>
      </c>
      <c r="Q17" s="481" t="str">
        <f>IF(Worksheet!P16&gt;0,Worksheet!P16," ")</f>
        <v>CX</v>
      </c>
      <c r="R17" s="481" t="str">
        <f>IF(Worksheet!Q16&gt;0,Worksheet!Q16," ")</f>
        <v xml:space="preserve"> </v>
      </c>
    </row>
    <row r="18" spans="1:18" ht="12.75" customHeight="1" x14ac:dyDescent="0.25">
      <c r="A18" s="354" t="s">
        <v>33</v>
      </c>
      <c r="B18" s="449" t="str">
        <f>HLOOKUP($P$5,'Data Sheet'!$B$2:$CM$27,3,FALSE)</f>
        <v>P1-RS2</v>
      </c>
      <c r="C18" s="481" t="str">
        <f>IF(Worksheet!C17&gt;0,Worksheet!C17," ")</f>
        <v>Chapel West</v>
      </c>
      <c r="D18" s="482"/>
      <c r="E18" s="483" t="str">
        <f>Worksheet!E17</f>
        <v>Tube 2.375</v>
      </c>
      <c r="F18" s="504">
        <f>IF(Worksheet!F17&gt;0,Worksheet!F17," ")</f>
        <v>45.75</v>
      </c>
      <c r="G18" s="484" t="s">
        <v>4</v>
      </c>
      <c r="H18" s="518">
        <f>IF(Worksheet!H17&gt;0,Worksheet!H17," ")</f>
        <v>103</v>
      </c>
      <c r="I18" s="481" t="str">
        <f>IF(Worksheet!I17&gt;0,Worksheet!I17," ")</f>
        <v>IB</v>
      </c>
      <c r="J18" s="481" t="str">
        <f>IF(Worksheet!J17&gt;0,Worksheet!J17," ")</f>
        <v xml:space="preserve"> </v>
      </c>
      <c r="K18" s="481" t="str">
        <f>IF(Worksheet!K17&gt;0,Worksheet!K17," ")</f>
        <v>White</v>
      </c>
      <c r="L18" s="481" t="str">
        <f>IF(Worksheet!L17&gt;0,Worksheet!L17," ")</f>
        <v>seamed</v>
      </c>
      <c r="M18" s="481" t="str">
        <f>IF(Worksheet!M17&gt;0,Worksheet!M17," ")</f>
        <v>Panta Flex Linen</v>
      </c>
      <c r="O18" s="481" t="str">
        <f>IF(Worksheet!N17&gt;0,Worksheet!N17," ")</f>
        <v xml:space="preserve"> </v>
      </c>
      <c r="P18" s="481" t="str">
        <f>IF(Worksheet!O17&gt;0,Worksheet!O17," ")</f>
        <v>V</v>
      </c>
      <c r="Q18" s="481" t="str">
        <f>IF(Worksheet!P17&gt;0,Worksheet!P17," ")</f>
        <v>CX</v>
      </c>
      <c r="R18" s="481" t="str">
        <f>IF(Worksheet!Q17&gt;0,Worksheet!Q17," ")</f>
        <v xml:space="preserve"> </v>
      </c>
    </row>
    <row r="19" spans="1:18" ht="12.75" customHeight="1" x14ac:dyDescent="0.25">
      <c r="A19" s="354" t="s">
        <v>34</v>
      </c>
      <c r="B19" s="449" t="str">
        <f>HLOOKUP($P$5,'Data Sheet'!$B$2:$CM$27,4,FALSE)</f>
        <v>P1-RS3</v>
      </c>
      <c r="C19" s="481" t="str">
        <f>IF(Worksheet!C18&gt;0,Worksheet!C18," ")</f>
        <v>Room 103</v>
      </c>
      <c r="D19" s="482"/>
      <c r="E19" s="483" t="str">
        <f>Worksheet!E18</f>
        <v>Tube 1.5</v>
      </c>
      <c r="F19" s="504">
        <f>IF(Worksheet!F18&gt;0,Worksheet!F18," ")</f>
        <v>36.5</v>
      </c>
      <c r="G19" s="484" t="s">
        <v>4</v>
      </c>
      <c r="H19" s="518">
        <f>IF(Worksheet!H18&gt;0,Worksheet!H18," ")</f>
        <v>64</v>
      </c>
      <c r="I19" s="481" t="str">
        <f>IF(Worksheet!I18&gt;0,Worksheet!I18," ")</f>
        <v>IB</v>
      </c>
      <c r="J19" s="481" t="str">
        <f>IF(Worksheet!J18&gt;0,Worksheet!J18," ")</f>
        <v xml:space="preserve"> </v>
      </c>
      <c r="K19" s="481" t="str">
        <f>IF(Worksheet!K18&gt;0,Worksheet!K18," ")</f>
        <v>White</v>
      </c>
      <c r="L19" s="481" t="str">
        <f>IF(Worksheet!L18&gt;0,Worksheet!L18," ")</f>
        <v>seamed</v>
      </c>
      <c r="M19" s="481" t="str">
        <f>IF(Worksheet!M18&gt;0,Worksheet!M18," ")</f>
        <v>Panta Flex Linen</v>
      </c>
      <c r="O19" s="481" t="str">
        <f>IF(Worksheet!N18&gt;0,Worksheet!N18," ")</f>
        <v>SAVE RODS</v>
      </c>
      <c r="P19" s="481" t="str">
        <f>IF(Worksheet!O18&gt;0,Worksheet!O18," ")</f>
        <v>V</v>
      </c>
      <c r="Q19" s="481" t="str">
        <f>IF(Worksheet!P18&gt;0,Worksheet!P18," ")</f>
        <v>CX</v>
      </c>
      <c r="R19" s="481" t="str">
        <f>IF(Worksheet!Q18&gt;0,Worksheet!Q18," ")</f>
        <v xml:space="preserve"> </v>
      </c>
    </row>
    <row r="20" spans="1:18" ht="12.75" customHeight="1" x14ac:dyDescent="0.25">
      <c r="A20" s="354" t="s">
        <v>31</v>
      </c>
      <c r="B20" s="449" t="str">
        <f>HLOOKUP($P$5,'Data Sheet'!$B$2:$CM$27,5,FALSE)</f>
        <v>P1-RS4</v>
      </c>
      <c r="C20" s="481" t="str">
        <f>IF(Worksheet!C19&gt;0,Worksheet!C19," ")</f>
        <v>Room 104</v>
      </c>
      <c r="D20" s="482"/>
      <c r="E20" s="483" t="str">
        <f>Worksheet!E19</f>
        <v>Tube 1.5</v>
      </c>
      <c r="F20" s="504">
        <f>IF(Worksheet!F19&gt;0,Worksheet!F19," ")</f>
        <v>36</v>
      </c>
      <c r="G20" s="484" t="s">
        <v>4</v>
      </c>
      <c r="H20" s="518">
        <f>IF(Worksheet!H19&gt;0,Worksheet!H19," ")</f>
        <v>64</v>
      </c>
      <c r="I20" s="481" t="str">
        <f>IF(Worksheet!I19&gt;0,Worksheet!I19," ")</f>
        <v>IB</v>
      </c>
      <c r="J20" s="481" t="str">
        <f>IF(Worksheet!J19&gt;0,Worksheet!J19," ")</f>
        <v xml:space="preserve"> </v>
      </c>
      <c r="K20" s="481" t="str">
        <f>IF(Worksheet!K19&gt;0,Worksheet!K19," ")</f>
        <v>White</v>
      </c>
      <c r="L20" s="481" t="str">
        <f>IF(Worksheet!L19&gt;0,Worksheet!L19," ")</f>
        <v>seamed</v>
      </c>
      <c r="M20" s="481" t="str">
        <f>IF(Worksheet!M19&gt;0,Worksheet!M19," ")</f>
        <v>Panta Flex Linen</v>
      </c>
      <c r="O20" s="481" t="str">
        <f>IF(Worksheet!N19&gt;0,Worksheet!N19," ")</f>
        <v>SAVE RODS</v>
      </c>
      <c r="P20" s="481" t="str">
        <f>IF(Worksheet!O19&gt;0,Worksheet!O19," ")</f>
        <v>V</v>
      </c>
      <c r="Q20" s="481" t="str">
        <f>IF(Worksheet!P19&gt;0,Worksheet!P19," ")</f>
        <v>CX</v>
      </c>
      <c r="R20" s="481" t="str">
        <f>IF(Worksheet!Q19&gt;0,Worksheet!Q19," ")</f>
        <v xml:space="preserve"> </v>
      </c>
    </row>
    <row r="21" spans="1:18" ht="12.75" customHeight="1" x14ac:dyDescent="0.25">
      <c r="A21" s="354" t="s">
        <v>35</v>
      </c>
      <c r="B21" s="449" t="str">
        <f>HLOOKUP($P$5,'Data Sheet'!$B$2:$CM$27,6,FALSE)</f>
        <v>P1-RS5</v>
      </c>
      <c r="C21" s="481" t="str">
        <f>IF(Worksheet!C20&gt;0,Worksheet!C20," ")</f>
        <v>Room 104</v>
      </c>
      <c r="D21" s="482"/>
      <c r="E21" s="483" t="str">
        <f>Worksheet!E20</f>
        <v>Tube 1.5</v>
      </c>
      <c r="F21" s="504">
        <f>IF(Worksheet!F20&gt;0,Worksheet!F20," ")</f>
        <v>35.75</v>
      </c>
      <c r="G21" s="484" t="s">
        <v>4</v>
      </c>
      <c r="H21" s="518">
        <f>IF(Worksheet!H20&gt;0,Worksheet!H20," ")</f>
        <v>64</v>
      </c>
      <c r="I21" s="481" t="str">
        <f>IF(Worksheet!I20&gt;0,Worksheet!I20," ")</f>
        <v>IB</v>
      </c>
      <c r="J21" s="481" t="str">
        <f>IF(Worksheet!J20&gt;0,Worksheet!J20," ")</f>
        <v xml:space="preserve"> </v>
      </c>
      <c r="K21" s="481" t="str">
        <f>IF(Worksheet!K20&gt;0,Worksheet!K20," ")</f>
        <v>White</v>
      </c>
      <c r="L21" s="481" t="str">
        <f>IF(Worksheet!L20&gt;0,Worksheet!L20," ")</f>
        <v>seamed</v>
      </c>
      <c r="M21" s="481" t="str">
        <f>IF(Worksheet!M20&gt;0,Worksheet!M20," ")</f>
        <v>Panta Flex Linen</v>
      </c>
      <c r="O21" s="481" t="str">
        <f>IF(Worksheet!N20&gt;0,Worksheet!N20," ")</f>
        <v>SAVE RODS</v>
      </c>
      <c r="P21" s="481" t="str">
        <f>IF(Worksheet!O20&gt;0,Worksheet!O20," ")</f>
        <v>V</v>
      </c>
      <c r="Q21" s="481" t="str">
        <f>IF(Worksheet!P20&gt;0,Worksheet!P20," ")</f>
        <v>CX</v>
      </c>
      <c r="R21" s="481" t="str">
        <f>IF(Worksheet!Q20&gt;0,Worksheet!Q20," ")</f>
        <v xml:space="preserve"> </v>
      </c>
    </row>
    <row r="22" spans="1:18" ht="12.75" customHeight="1" x14ac:dyDescent="0.25">
      <c r="A22" s="354" t="s">
        <v>36</v>
      </c>
      <c r="B22" s="449" t="str">
        <f>HLOOKUP($P$5,'Data Sheet'!$B$2:$CM$27,7,FALSE)</f>
        <v>P1-RS6</v>
      </c>
      <c r="C22" s="481" t="str">
        <f>IF(Worksheet!C21&gt;0,Worksheet!C21," ")</f>
        <v>Room 104</v>
      </c>
      <c r="D22" s="482"/>
      <c r="E22" s="483" t="str">
        <f>Worksheet!E21</f>
        <v>Tube 1.5</v>
      </c>
      <c r="F22" s="504">
        <f>IF(Worksheet!F21&gt;0,Worksheet!F21," ")</f>
        <v>36</v>
      </c>
      <c r="G22" s="484" t="s">
        <v>4</v>
      </c>
      <c r="H22" s="518">
        <f>IF(Worksheet!H21&gt;0,Worksheet!H21," ")</f>
        <v>64</v>
      </c>
      <c r="I22" s="481" t="str">
        <f>IF(Worksheet!I21&gt;0,Worksheet!I21," ")</f>
        <v>IB</v>
      </c>
      <c r="J22" s="481" t="str">
        <f>IF(Worksheet!J21&gt;0,Worksheet!J21," ")</f>
        <v xml:space="preserve"> </v>
      </c>
      <c r="K22" s="481" t="str">
        <f>IF(Worksheet!K21&gt;0,Worksheet!K21," ")</f>
        <v>White</v>
      </c>
      <c r="L22" s="481" t="str">
        <f>IF(Worksheet!L21&gt;0,Worksheet!L21," ")</f>
        <v>seamed</v>
      </c>
      <c r="M22" s="481" t="str">
        <f>IF(Worksheet!M21&gt;0,Worksheet!M21," ")</f>
        <v>Panta Flex Linen</v>
      </c>
      <c r="O22" s="481" t="str">
        <f>IF(Worksheet!N21&gt;0,Worksheet!N21," ")</f>
        <v>SAVE RODS</v>
      </c>
      <c r="P22" s="481" t="str">
        <f>IF(Worksheet!O21&gt;0,Worksheet!O21," ")</f>
        <v>V</v>
      </c>
      <c r="Q22" s="481" t="str">
        <f>IF(Worksheet!P21&gt;0,Worksheet!P21," ")</f>
        <v>CX</v>
      </c>
      <c r="R22" s="481" t="str">
        <f>IF(Worksheet!Q21&gt;0,Worksheet!Q21," ")</f>
        <v xml:space="preserve"> </v>
      </c>
    </row>
    <row r="23" spans="1:18" ht="12.75" customHeight="1" x14ac:dyDescent="0.25">
      <c r="A23" s="354" t="s">
        <v>37</v>
      </c>
      <c r="B23" s="449" t="str">
        <f>HLOOKUP($P$5,'Data Sheet'!$B$2:$CM$27,8,FALSE)</f>
        <v>P1-RS7</v>
      </c>
      <c r="C23" s="481" t="str">
        <f>IF(Worksheet!C22&gt;0,Worksheet!C22," ")</f>
        <v>Room 105</v>
      </c>
      <c r="D23" s="482"/>
      <c r="E23" s="483" t="str">
        <f>Worksheet!E22</f>
        <v>Tube 1.5</v>
      </c>
      <c r="F23" s="504">
        <f>IF(Worksheet!F22&gt;0,Worksheet!F22," ")</f>
        <v>36.25</v>
      </c>
      <c r="G23" s="484" t="s">
        <v>4</v>
      </c>
      <c r="H23" s="518">
        <f>IF(Worksheet!H22&gt;0,Worksheet!H22," ")</f>
        <v>64</v>
      </c>
      <c r="I23" s="481" t="str">
        <f>IF(Worksheet!I22&gt;0,Worksheet!I22," ")</f>
        <v>IB</v>
      </c>
      <c r="J23" s="481" t="str">
        <f>IF(Worksheet!J22&gt;0,Worksheet!J22," ")</f>
        <v xml:space="preserve"> </v>
      </c>
      <c r="K23" s="481" t="str">
        <f>IF(Worksheet!K22&gt;0,Worksheet!K22," ")</f>
        <v>White</v>
      </c>
      <c r="L23" s="481" t="str">
        <f>IF(Worksheet!L22&gt;0,Worksheet!L22," ")</f>
        <v>seamed</v>
      </c>
      <c r="M23" s="481" t="str">
        <f>IF(Worksheet!M22&gt;0,Worksheet!M22," ")</f>
        <v>Panta Flex Linen</v>
      </c>
      <c r="O23" s="481" t="str">
        <f>IF(Worksheet!N22&gt;0,Worksheet!N22," ")</f>
        <v>SAVE RODS</v>
      </c>
      <c r="P23" s="481" t="str">
        <f>IF(Worksheet!O22&gt;0,Worksheet!O22," ")</f>
        <v>V</v>
      </c>
      <c r="Q23" s="481" t="str">
        <f>IF(Worksheet!P22&gt;0,Worksheet!P22," ")</f>
        <v>CX</v>
      </c>
      <c r="R23" s="481" t="str">
        <f>IF(Worksheet!Q22&gt;0,Worksheet!Q22," ")</f>
        <v xml:space="preserve"> </v>
      </c>
    </row>
    <row r="24" spans="1:18" ht="12.75" customHeight="1" x14ac:dyDescent="0.25">
      <c r="A24" s="354" t="s">
        <v>38</v>
      </c>
      <c r="B24" s="449" t="str">
        <f>HLOOKUP($P$5,'Data Sheet'!$B$2:$CM$27,9,FALSE)</f>
        <v>P1-RS8</v>
      </c>
      <c r="C24" s="481" t="str">
        <f>IF(Worksheet!C23&gt;0,Worksheet!C23," ")</f>
        <v xml:space="preserve"> </v>
      </c>
      <c r="D24" s="482"/>
      <c r="E24" s="483" t="str">
        <f>Worksheet!E23</f>
        <v>Tube 1.5</v>
      </c>
      <c r="F24" s="504" t="str">
        <f>IF(Worksheet!F23&gt;0,Worksheet!F23," ")</f>
        <v xml:space="preserve"> </v>
      </c>
      <c r="G24" s="484" t="s">
        <v>4</v>
      </c>
      <c r="H24" s="518" t="str">
        <f>IF(Worksheet!H23&gt;0,Worksheet!H23," ")</f>
        <v xml:space="preserve"> </v>
      </c>
      <c r="I24" s="481" t="str">
        <f>IF(Worksheet!I23&gt;0,Worksheet!I23," ")</f>
        <v xml:space="preserve"> </v>
      </c>
      <c r="J24" s="481" t="str">
        <f>IF(Worksheet!J23&gt;0,Worksheet!J23," ")</f>
        <v xml:space="preserve"> </v>
      </c>
      <c r="K24" s="481" t="str">
        <f>IF(Worksheet!K23&gt;0,Worksheet!K23," ")</f>
        <v xml:space="preserve"> </v>
      </c>
      <c r="L24" s="481" t="str">
        <f>IF(Worksheet!L23&gt;0,Worksheet!L23," ")</f>
        <v xml:space="preserve"> </v>
      </c>
      <c r="M24" s="481" t="str">
        <f>IF(Worksheet!M23&gt;0,Worksheet!M23," ")</f>
        <v xml:space="preserve"> </v>
      </c>
      <c r="O24" s="481" t="str">
        <f>IF(Worksheet!N23&gt;0,Worksheet!N23," ")</f>
        <v xml:space="preserve"> </v>
      </c>
      <c r="P24" s="481" t="str">
        <f>IF(Worksheet!O23&gt;0,Worksheet!O23," ")</f>
        <v xml:space="preserve"> </v>
      </c>
      <c r="Q24" s="481" t="str">
        <f>IF(Worksheet!P23&gt;0,Worksheet!P23," ")</f>
        <v xml:space="preserve"> </v>
      </c>
      <c r="R24" s="481" t="str">
        <f>IF(Worksheet!Q23&gt;0,Worksheet!Q23," ")</f>
        <v xml:space="preserve"> </v>
      </c>
    </row>
    <row r="25" spans="1:18" ht="12.75" customHeight="1" x14ac:dyDescent="0.25">
      <c r="A25" s="354" t="s">
        <v>39</v>
      </c>
      <c r="B25" s="449" t="str">
        <f>HLOOKUP($P$5,'Data Sheet'!$B$2:$CM$27,10,FALSE)</f>
        <v>P1-RS9</v>
      </c>
      <c r="C25" s="481" t="str">
        <f>IF(Worksheet!C24&gt;0,Worksheet!C24," ")</f>
        <v xml:space="preserve"> </v>
      </c>
      <c r="D25" s="482"/>
      <c r="E25" s="483" t="str">
        <f>Worksheet!E24</f>
        <v>Tube 1.5</v>
      </c>
      <c r="F25" s="504" t="str">
        <f>IF(Worksheet!F24&gt;0,Worksheet!F24," ")</f>
        <v xml:space="preserve"> </v>
      </c>
      <c r="G25" s="484" t="s">
        <v>4</v>
      </c>
      <c r="H25" s="518" t="str">
        <f>IF(Worksheet!H24&gt;0,Worksheet!H24," ")</f>
        <v xml:space="preserve"> </v>
      </c>
      <c r="I25" s="481" t="str">
        <f>IF(Worksheet!I24&gt;0,Worksheet!I24," ")</f>
        <v xml:space="preserve"> </v>
      </c>
      <c r="J25" s="481" t="str">
        <f>IF(Worksheet!J24&gt;0,Worksheet!J24," ")</f>
        <v xml:space="preserve"> </v>
      </c>
      <c r="K25" s="481" t="str">
        <f>IF(Worksheet!K24&gt;0,Worksheet!K24," ")</f>
        <v xml:space="preserve"> </v>
      </c>
      <c r="L25" s="481" t="str">
        <f>IF(Worksheet!L24&gt;0,Worksheet!L24," ")</f>
        <v xml:space="preserve"> </v>
      </c>
      <c r="M25" s="481" t="str">
        <f>IF(Worksheet!M24&gt;0,Worksheet!M24," ")</f>
        <v xml:space="preserve"> </v>
      </c>
      <c r="O25" s="481" t="str">
        <f>IF(Worksheet!N24&gt;0,Worksheet!N24," ")</f>
        <v xml:space="preserve"> </v>
      </c>
      <c r="P25" s="481" t="str">
        <f>IF(Worksheet!O24&gt;0,Worksheet!O24," ")</f>
        <v xml:space="preserve"> </v>
      </c>
      <c r="Q25" s="481" t="str">
        <f>IF(Worksheet!P24&gt;0,Worksheet!P24," ")</f>
        <v xml:space="preserve"> </v>
      </c>
      <c r="R25" s="481" t="str">
        <f>IF(Worksheet!Q24&gt;0,Worksheet!Q24," ")</f>
        <v xml:space="preserve"> </v>
      </c>
    </row>
    <row r="26" spans="1:18" ht="12.75" customHeight="1" x14ac:dyDescent="0.25">
      <c r="A26" s="354" t="s">
        <v>40</v>
      </c>
      <c r="B26" s="449" t="str">
        <f>HLOOKUP($P$5,'Data Sheet'!$B$2:$CM$27,11,FALSE)</f>
        <v>P1-RS10</v>
      </c>
      <c r="C26" s="481" t="str">
        <f>IF(Worksheet!C25&gt;0,Worksheet!C25," ")</f>
        <v xml:space="preserve"> </v>
      </c>
      <c r="D26" s="484"/>
      <c r="E26" s="483" t="str">
        <f>Worksheet!E25</f>
        <v>Tube 1.5</v>
      </c>
      <c r="F26" s="504" t="str">
        <f>IF(Worksheet!F25&gt;0,Worksheet!F25," ")</f>
        <v xml:space="preserve"> </v>
      </c>
      <c r="G26" s="484" t="s">
        <v>4</v>
      </c>
      <c r="H26" s="518" t="str">
        <f>IF(Worksheet!H25&gt;0,Worksheet!H25," ")</f>
        <v xml:space="preserve"> </v>
      </c>
      <c r="I26" s="481" t="str">
        <f>IF(Worksheet!I25&gt;0,Worksheet!I25," ")</f>
        <v xml:space="preserve"> </v>
      </c>
      <c r="J26" s="481" t="str">
        <f>IF(Worksheet!J25&gt;0,Worksheet!J25," ")</f>
        <v xml:space="preserve"> </v>
      </c>
      <c r="K26" s="481" t="str">
        <f>IF(Worksheet!K25&gt;0,Worksheet!K25," ")</f>
        <v xml:space="preserve"> </v>
      </c>
      <c r="L26" s="481" t="str">
        <f>IF(Worksheet!L25&gt;0,Worksheet!L25," ")</f>
        <v xml:space="preserve"> </v>
      </c>
      <c r="M26" s="481" t="str">
        <f>IF(Worksheet!M25&gt;0,Worksheet!M25," ")</f>
        <v xml:space="preserve"> </v>
      </c>
      <c r="O26" s="481" t="str">
        <f>IF(Worksheet!N25&gt;0,Worksheet!N25," ")</f>
        <v xml:space="preserve"> </v>
      </c>
      <c r="P26" s="481" t="str">
        <f>IF(Worksheet!O25&gt;0,Worksheet!O25," ")</f>
        <v xml:space="preserve"> </v>
      </c>
      <c r="Q26" s="481" t="str">
        <f>IF(Worksheet!P25&gt;0,Worksheet!P25," ")</f>
        <v xml:space="preserve"> </v>
      </c>
      <c r="R26" s="481" t="str">
        <f>IF(Worksheet!Q25&gt;0,Worksheet!Q25," ")</f>
        <v xml:space="preserve"> </v>
      </c>
    </row>
    <row r="27" spans="1:18" ht="12.75" customHeight="1" x14ac:dyDescent="0.25">
      <c r="A27" s="354" t="s">
        <v>41</v>
      </c>
      <c r="B27" s="449" t="str">
        <f>HLOOKUP($P$5,'Data Sheet'!$B$2:$CM$27,12,FALSE)</f>
        <v>P1-RS11</v>
      </c>
      <c r="C27" s="481" t="str">
        <f>IF(Worksheet!C26&gt;0,Worksheet!C26," ")</f>
        <v xml:space="preserve"> </v>
      </c>
      <c r="D27" s="484"/>
      <c r="E27" s="483" t="str">
        <f>Worksheet!E26</f>
        <v>Tube 1.5</v>
      </c>
      <c r="F27" s="504" t="str">
        <f>IF(Worksheet!F26&gt;0,Worksheet!F26," ")</f>
        <v xml:space="preserve"> </v>
      </c>
      <c r="G27" s="484" t="s">
        <v>4</v>
      </c>
      <c r="H27" s="518" t="str">
        <f>IF(Worksheet!H26&gt;0,Worksheet!H26," ")</f>
        <v xml:space="preserve"> </v>
      </c>
      <c r="I27" s="481" t="str">
        <f>IF(Worksheet!I26&gt;0,Worksheet!I26," ")</f>
        <v xml:space="preserve"> </v>
      </c>
      <c r="J27" s="481" t="str">
        <f>IF(Worksheet!J26&gt;0,Worksheet!J26," ")</f>
        <v xml:space="preserve"> </v>
      </c>
      <c r="K27" s="481" t="str">
        <f>IF(Worksheet!K26&gt;0,Worksheet!K26," ")</f>
        <v xml:space="preserve"> </v>
      </c>
      <c r="L27" s="481" t="str">
        <f>IF(Worksheet!L26&gt;0,Worksheet!L26," ")</f>
        <v xml:space="preserve"> </v>
      </c>
      <c r="M27" s="481" t="str">
        <f>IF(Worksheet!M26&gt;0,Worksheet!M26," ")</f>
        <v xml:space="preserve"> </v>
      </c>
      <c r="O27" s="481" t="str">
        <f>IF(Worksheet!N26&gt;0,Worksheet!N26," ")</f>
        <v xml:space="preserve"> </v>
      </c>
      <c r="P27" s="481" t="str">
        <f>IF(Worksheet!O26&gt;0,Worksheet!O26," ")</f>
        <v xml:space="preserve"> </v>
      </c>
      <c r="Q27" s="481" t="str">
        <f>IF(Worksheet!P26&gt;0,Worksheet!P26," ")</f>
        <v xml:space="preserve"> </v>
      </c>
      <c r="R27" s="481" t="str">
        <f>IF(Worksheet!Q26&gt;0,Worksheet!Q26," ")</f>
        <v xml:space="preserve"> </v>
      </c>
    </row>
    <row r="28" spans="1:18" ht="12.75" customHeight="1" x14ac:dyDescent="0.25">
      <c r="A28" s="354" t="s">
        <v>42</v>
      </c>
      <c r="B28" s="449" t="str">
        <f>HLOOKUP($P$5,'Data Sheet'!$B$2:$CM$27,13,FALSE)</f>
        <v>P1-RS12</v>
      </c>
      <c r="C28" s="481" t="str">
        <f>IF(Worksheet!C27&gt;0,Worksheet!C27," ")</f>
        <v xml:space="preserve"> </v>
      </c>
      <c r="D28" s="484"/>
      <c r="E28" s="483" t="str">
        <f>Worksheet!E27</f>
        <v>Tube 1.5</v>
      </c>
      <c r="F28" s="504" t="str">
        <f>IF(Worksheet!F27&gt;0,Worksheet!F27," ")</f>
        <v xml:space="preserve"> </v>
      </c>
      <c r="G28" s="484" t="s">
        <v>4</v>
      </c>
      <c r="H28" s="518" t="str">
        <f>IF(Worksheet!H27&gt;0,Worksheet!H27," ")</f>
        <v xml:space="preserve"> </v>
      </c>
      <c r="I28" s="481" t="str">
        <f>IF(Worksheet!I27&gt;0,Worksheet!I27," ")</f>
        <v xml:space="preserve"> </v>
      </c>
      <c r="J28" s="481" t="str">
        <f>IF(Worksheet!J27&gt;0,Worksheet!J27," ")</f>
        <v xml:space="preserve"> </v>
      </c>
      <c r="K28" s="481" t="str">
        <f>IF(Worksheet!K27&gt;0,Worksheet!K27," ")</f>
        <v xml:space="preserve"> </v>
      </c>
      <c r="L28" s="481" t="str">
        <f>IF(Worksheet!L27&gt;0,Worksheet!L27," ")</f>
        <v xml:space="preserve"> </v>
      </c>
      <c r="M28" s="481" t="str">
        <f>IF(Worksheet!M27&gt;0,Worksheet!M27," ")</f>
        <v xml:space="preserve"> </v>
      </c>
      <c r="O28" s="481" t="str">
        <f>IF(Worksheet!N27&gt;0,Worksheet!N27," ")</f>
        <v xml:space="preserve"> </v>
      </c>
      <c r="P28" s="481" t="str">
        <f>IF(Worksheet!O27&gt;0,Worksheet!O27," ")</f>
        <v xml:space="preserve"> </v>
      </c>
      <c r="Q28" s="481" t="str">
        <f>IF(Worksheet!P27&gt;0,Worksheet!P27," ")</f>
        <v xml:space="preserve"> </v>
      </c>
      <c r="R28" s="481" t="str">
        <f>IF(Worksheet!Q27&gt;0,Worksheet!Q27," ")</f>
        <v xml:space="preserve"> </v>
      </c>
    </row>
    <row r="29" spans="1:18" ht="12.75" customHeight="1" x14ac:dyDescent="0.25">
      <c r="A29" s="354" t="s">
        <v>43</v>
      </c>
      <c r="B29" s="449" t="str">
        <f>HLOOKUP($P$5,'Data Sheet'!$B$2:$CM$27,14,FALSE)</f>
        <v>P1-RS13</v>
      </c>
      <c r="C29" s="481" t="str">
        <f>IF(Worksheet!C28&gt;0,Worksheet!C28," ")</f>
        <v xml:space="preserve"> </v>
      </c>
      <c r="D29" s="484"/>
      <c r="E29" s="483" t="str">
        <f>Worksheet!E28</f>
        <v>Tube 1.5</v>
      </c>
      <c r="F29" s="504" t="str">
        <f>IF(Worksheet!F28&gt;0,Worksheet!F28," ")</f>
        <v xml:space="preserve"> </v>
      </c>
      <c r="G29" s="484" t="s">
        <v>4</v>
      </c>
      <c r="H29" s="518" t="str">
        <f>IF(Worksheet!H28&gt;0,Worksheet!H28," ")</f>
        <v xml:space="preserve"> </v>
      </c>
      <c r="I29" s="481" t="str">
        <f>IF(Worksheet!I28&gt;0,Worksheet!I28," ")</f>
        <v xml:space="preserve"> </v>
      </c>
      <c r="J29" s="481" t="str">
        <f>IF(Worksheet!J28&gt;0,Worksheet!J28," ")</f>
        <v xml:space="preserve"> </v>
      </c>
      <c r="K29" s="481" t="str">
        <f>IF(Worksheet!K28&gt;0,Worksheet!K28," ")</f>
        <v xml:space="preserve"> </v>
      </c>
      <c r="L29" s="481" t="str">
        <f>IF(Worksheet!L28&gt;0,Worksheet!L28," ")</f>
        <v xml:space="preserve"> </v>
      </c>
      <c r="M29" s="481" t="str">
        <f>IF(Worksheet!M28&gt;0,Worksheet!M28," ")</f>
        <v xml:space="preserve"> </v>
      </c>
      <c r="O29" s="481" t="str">
        <f>IF(Worksheet!N28&gt;0,Worksheet!N28," ")</f>
        <v xml:space="preserve"> </v>
      </c>
      <c r="P29" s="481" t="str">
        <f>IF(Worksheet!O28&gt;0,Worksheet!O28," ")</f>
        <v xml:space="preserve"> </v>
      </c>
      <c r="Q29" s="481" t="str">
        <f>IF(Worksheet!P28&gt;0,Worksheet!P28," ")</f>
        <v xml:space="preserve"> </v>
      </c>
      <c r="R29" s="481" t="str">
        <f>IF(Worksheet!Q28&gt;0,Worksheet!Q28," ")</f>
        <v xml:space="preserve"> </v>
      </c>
    </row>
    <row r="30" spans="1:18" ht="12.75" customHeight="1" x14ac:dyDescent="0.25">
      <c r="A30" s="354" t="s">
        <v>44</v>
      </c>
      <c r="B30" s="449" t="str">
        <f>HLOOKUP($P$5,'Data Sheet'!$B$2:$CM$27,15,FALSE)</f>
        <v>P1-RS14</v>
      </c>
      <c r="C30" s="481" t="str">
        <f>IF(Worksheet!C29&gt;0,Worksheet!C29," ")</f>
        <v xml:space="preserve"> </v>
      </c>
      <c r="D30" s="484"/>
      <c r="E30" s="483" t="str">
        <f>Worksheet!E29</f>
        <v>Tube 1.5</v>
      </c>
      <c r="F30" s="504" t="str">
        <f>IF(Worksheet!F29&gt;0,Worksheet!F29," ")</f>
        <v xml:space="preserve"> </v>
      </c>
      <c r="G30" s="484" t="s">
        <v>4</v>
      </c>
      <c r="H30" s="518" t="str">
        <f>IF(Worksheet!H29&gt;0,Worksheet!H29," ")</f>
        <v xml:space="preserve"> </v>
      </c>
      <c r="I30" s="481" t="str">
        <f>IF(Worksheet!I29&gt;0,Worksheet!I29," ")</f>
        <v xml:space="preserve"> </v>
      </c>
      <c r="J30" s="481" t="str">
        <f>IF(Worksheet!J29&gt;0,Worksheet!J29," ")</f>
        <v xml:space="preserve"> </v>
      </c>
      <c r="K30" s="481" t="str">
        <f>IF(Worksheet!K29&gt;0,Worksheet!K29," ")</f>
        <v xml:space="preserve"> </v>
      </c>
      <c r="L30" s="481" t="str">
        <f>IF(Worksheet!L29&gt;0,Worksheet!L29," ")</f>
        <v xml:space="preserve"> </v>
      </c>
      <c r="M30" s="481" t="str">
        <f>IF(Worksheet!M29&gt;0,Worksheet!M29," ")</f>
        <v xml:space="preserve"> </v>
      </c>
      <c r="O30" s="481" t="str">
        <f>IF(Worksheet!N29&gt;0,Worksheet!N29," ")</f>
        <v xml:space="preserve"> </v>
      </c>
      <c r="P30" s="481" t="str">
        <f>IF(Worksheet!O29&gt;0,Worksheet!O29," ")</f>
        <v xml:space="preserve"> </v>
      </c>
      <c r="Q30" s="481" t="str">
        <f>IF(Worksheet!P29&gt;0,Worksheet!P29," ")</f>
        <v xml:space="preserve"> </v>
      </c>
      <c r="R30" s="481" t="str">
        <f>IF(Worksheet!Q29&gt;0,Worksheet!Q29," ")</f>
        <v xml:space="preserve"> </v>
      </c>
    </row>
    <row r="31" spans="1:18" ht="12.75" customHeight="1" x14ac:dyDescent="0.25">
      <c r="A31" s="354" t="s">
        <v>45</v>
      </c>
      <c r="B31" s="449" t="str">
        <f>HLOOKUP($P$5,'Data Sheet'!$B$2:$CM$27,16,FALSE)</f>
        <v>P1-RS15</v>
      </c>
      <c r="C31" s="481" t="str">
        <f>IF(Worksheet!C30&gt;0,Worksheet!C30," ")</f>
        <v xml:space="preserve"> </v>
      </c>
      <c r="D31" s="484"/>
      <c r="E31" s="483" t="str">
        <f>Worksheet!E30</f>
        <v>Tube 1.5</v>
      </c>
      <c r="F31" s="504" t="str">
        <f>IF(Worksheet!F30&gt;0,Worksheet!F30," ")</f>
        <v xml:space="preserve"> </v>
      </c>
      <c r="G31" s="484" t="s">
        <v>4</v>
      </c>
      <c r="H31" s="518" t="str">
        <f>IF(Worksheet!H30&gt;0,Worksheet!H30," ")</f>
        <v xml:space="preserve"> </v>
      </c>
      <c r="I31" s="481" t="str">
        <f>IF(Worksheet!I30&gt;0,Worksheet!I30," ")</f>
        <v xml:space="preserve"> </v>
      </c>
      <c r="J31" s="481" t="str">
        <f>IF(Worksheet!J30&gt;0,Worksheet!J30," ")</f>
        <v xml:space="preserve"> </v>
      </c>
      <c r="K31" s="481" t="str">
        <f>IF(Worksheet!K30&gt;0,Worksheet!K30," ")</f>
        <v xml:space="preserve"> </v>
      </c>
      <c r="L31" s="481" t="str">
        <f>IF(Worksheet!L30&gt;0,Worksheet!L30," ")</f>
        <v xml:space="preserve"> </v>
      </c>
      <c r="M31" s="481" t="str">
        <f>IF(Worksheet!M30&gt;0,Worksheet!M30," ")</f>
        <v xml:space="preserve"> </v>
      </c>
      <c r="O31" s="481" t="str">
        <f>IF(Worksheet!N30&gt;0,Worksheet!N30," ")</f>
        <v xml:space="preserve"> </v>
      </c>
      <c r="P31" s="481" t="str">
        <f>IF(Worksheet!O30&gt;0,Worksheet!O30," ")</f>
        <v xml:space="preserve"> </v>
      </c>
      <c r="Q31" s="481" t="str">
        <f>IF(Worksheet!P30&gt;0,Worksheet!P30," ")</f>
        <v xml:space="preserve"> </v>
      </c>
      <c r="R31" s="481" t="str">
        <f>IF(Worksheet!Q30&gt;0,Worksheet!Q30," ")</f>
        <v xml:space="preserve"> </v>
      </c>
    </row>
    <row r="32" spans="1:18" ht="12.75" customHeight="1" x14ac:dyDescent="0.25">
      <c r="A32" s="354" t="s">
        <v>46</v>
      </c>
      <c r="B32" s="449" t="str">
        <f>HLOOKUP($P$5,'Data Sheet'!$B$2:$CM$27,17,FALSE)</f>
        <v>P1-RS16</v>
      </c>
      <c r="C32" s="481" t="str">
        <f>IF(Worksheet!C31&gt;0,Worksheet!C31," ")</f>
        <v xml:space="preserve"> </v>
      </c>
      <c r="D32" s="484"/>
      <c r="E32" s="483" t="str">
        <f>Worksheet!E31</f>
        <v>Tube 1.5</v>
      </c>
      <c r="F32" s="504" t="str">
        <f>IF(Worksheet!F31&gt;0,Worksheet!F31," ")</f>
        <v xml:space="preserve"> </v>
      </c>
      <c r="G32" s="484" t="s">
        <v>4</v>
      </c>
      <c r="H32" s="518" t="str">
        <f>IF(Worksheet!H31&gt;0,Worksheet!H31," ")</f>
        <v xml:space="preserve"> </v>
      </c>
      <c r="I32" s="481" t="str">
        <f>IF(Worksheet!I31&gt;0,Worksheet!I31," ")</f>
        <v xml:space="preserve"> </v>
      </c>
      <c r="J32" s="481" t="str">
        <f>IF(Worksheet!J31&gt;0,Worksheet!J31," ")</f>
        <v xml:space="preserve"> </v>
      </c>
      <c r="K32" s="481" t="str">
        <f>IF(Worksheet!K31&gt;0,Worksheet!K31," ")</f>
        <v xml:space="preserve"> </v>
      </c>
      <c r="L32" s="481" t="str">
        <f>IF(Worksheet!L31&gt;0,Worksheet!L31," ")</f>
        <v xml:space="preserve"> </v>
      </c>
      <c r="M32" s="481" t="str">
        <f>IF(Worksheet!M31&gt;0,Worksheet!M31," ")</f>
        <v xml:space="preserve"> </v>
      </c>
      <c r="O32" s="481" t="str">
        <f>IF(Worksheet!N31&gt;0,Worksheet!N31," ")</f>
        <v xml:space="preserve"> </v>
      </c>
      <c r="P32" s="481" t="str">
        <f>IF(Worksheet!O31&gt;0,Worksheet!O31," ")</f>
        <v xml:space="preserve"> </v>
      </c>
      <c r="Q32" s="481" t="str">
        <f>IF(Worksheet!P31&gt;0,Worksheet!P31," ")</f>
        <v xml:space="preserve"> </v>
      </c>
      <c r="R32" s="481" t="str">
        <f>IF(Worksheet!Q31&gt;0,Worksheet!Q31," ")</f>
        <v xml:space="preserve"> </v>
      </c>
    </row>
    <row r="33" spans="1:18" ht="12.75" customHeight="1" x14ac:dyDescent="0.25">
      <c r="A33" s="354" t="s">
        <v>47</v>
      </c>
      <c r="B33" s="449" t="str">
        <f>HLOOKUP($P$5,'Data Sheet'!$B$2:$CM$27,18,FALSE)</f>
        <v>P1-RS17</v>
      </c>
      <c r="C33" s="481" t="str">
        <f>IF(Worksheet!C32&gt;0,Worksheet!C32," ")</f>
        <v xml:space="preserve"> </v>
      </c>
      <c r="D33" s="484"/>
      <c r="E33" s="483" t="str">
        <f>Worksheet!E32</f>
        <v>Tube 1.5</v>
      </c>
      <c r="F33" s="504" t="str">
        <f>IF(Worksheet!F32&gt;0,Worksheet!F32," ")</f>
        <v xml:space="preserve"> </v>
      </c>
      <c r="G33" s="484" t="s">
        <v>4</v>
      </c>
      <c r="H33" s="518" t="str">
        <f>IF(Worksheet!H32&gt;0,Worksheet!H32," ")</f>
        <v xml:space="preserve"> </v>
      </c>
      <c r="I33" s="481" t="str">
        <f>IF(Worksheet!I32&gt;0,Worksheet!I32," ")</f>
        <v xml:space="preserve"> </v>
      </c>
      <c r="J33" s="481" t="str">
        <f>IF(Worksheet!J32&gt;0,Worksheet!J32," ")</f>
        <v xml:space="preserve"> </v>
      </c>
      <c r="K33" s="481" t="str">
        <f>IF(Worksheet!K32&gt;0,Worksheet!K32," ")</f>
        <v xml:space="preserve"> </v>
      </c>
      <c r="L33" s="481" t="str">
        <f>IF(Worksheet!L32&gt;0,Worksheet!L32," ")</f>
        <v xml:space="preserve"> </v>
      </c>
      <c r="M33" s="481" t="str">
        <f>IF(Worksheet!M32&gt;0,Worksheet!M32," ")</f>
        <v xml:space="preserve"> </v>
      </c>
      <c r="O33" s="481" t="str">
        <f>IF(Worksheet!N32&gt;0,Worksheet!N32," ")</f>
        <v xml:space="preserve"> </v>
      </c>
      <c r="P33" s="481" t="str">
        <f>IF(Worksheet!O32&gt;0,Worksheet!O32," ")</f>
        <v xml:space="preserve"> </v>
      </c>
      <c r="Q33" s="481" t="str">
        <f>IF(Worksheet!P32&gt;0,Worksheet!P32," ")</f>
        <v xml:space="preserve"> </v>
      </c>
      <c r="R33" s="481" t="str">
        <f>IF(Worksheet!Q32&gt;0,Worksheet!Q32," ")</f>
        <v xml:space="preserve"> </v>
      </c>
    </row>
    <row r="34" spans="1:18" ht="12.75" customHeight="1" x14ac:dyDescent="0.25">
      <c r="A34" s="354" t="s">
        <v>48</v>
      </c>
      <c r="B34" s="449" t="str">
        <f>HLOOKUP($P$5,'Data Sheet'!$B$2:$CM$27,19,FALSE)</f>
        <v>P1-RS18</v>
      </c>
      <c r="C34" s="481" t="str">
        <f>IF(Worksheet!C33&gt;0,Worksheet!C33," ")</f>
        <v xml:space="preserve"> </v>
      </c>
      <c r="D34" s="484"/>
      <c r="E34" s="483" t="str">
        <f>Worksheet!E33</f>
        <v>Tube 1.5</v>
      </c>
      <c r="F34" s="504" t="str">
        <f>IF(Worksheet!F33&gt;0,Worksheet!F33," ")</f>
        <v xml:space="preserve"> </v>
      </c>
      <c r="G34" s="484" t="s">
        <v>4</v>
      </c>
      <c r="H34" s="518" t="str">
        <f>IF(Worksheet!H33&gt;0,Worksheet!H33," ")</f>
        <v xml:space="preserve"> </v>
      </c>
      <c r="I34" s="481" t="str">
        <f>IF(Worksheet!I33&gt;0,Worksheet!I33," ")</f>
        <v xml:space="preserve"> </v>
      </c>
      <c r="J34" s="481" t="str">
        <f>IF(Worksheet!J33&gt;0,Worksheet!J33," ")</f>
        <v xml:space="preserve"> </v>
      </c>
      <c r="K34" s="481" t="str">
        <f>IF(Worksheet!K33&gt;0,Worksheet!K33," ")</f>
        <v xml:space="preserve"> </v>
      </c>
      <c r="L34" s="481" t="str">
        <f>IF(Worksheet!L33&gt;0,Worksheet!L33," ")</f>
        <v xml:space="preserve"> </v>
      </c>
      <c r="M34" s="481" t="str">
        <f>IF(Worksheet!M33&gt;0,Worksheet!M33," ")</f>
        <v xml:space="preserve"> </v>
      </c>
      <c r="O34" s="481" t="str">
        <f>IF(Worksheet!N33&gt;0,Worksheet!N33," ")</f>
        <v xml:space="preserve"> </v>
      </c>
      <c r="P34" s="481" t="str">
        <f>IF(Worksheet!O33&gt;0,Worksheet!O33," ")</f>
        <v xml:space="preserve"> </v>
      </c>
      <c r="Q34" s="481" t="str">
        <f>IF(Worksheet!P33&gt;0,Worksheet!P33," ")</f>
        <v xml:space="preserve"> </v>
      </c>
      <c r="R34" s="481" t="str">
        <f>IF(Worksheet!Q33&gt;0,Worksheet!Q33," ")</f>
        <v xml:space="preserve"> </v>
      </c>
    </row>
    <row r="35" spans="1:18" ht="12.75" customHeight="1" x14ac:dyDescent="0.25">
      <c r="A35" s="354" t="s">
        <v>49</v>
      </c>
      <c r="B35" s="449" t="str">
        <f>HLOOKUP($P$5,'Data Sheet'!$B$2:$CM$27,20,FALSE)</f>
        <v>P1-RS19</v>
      </c>
      <c r="C35" s="481" t="str">
        <f>IF(Worksheet!C34&gt;0,Worksheet!C34," ")</f>
        <v xml:space="preserve"> </v>
      </c>
      <c r="D35" s="484"/>
      <c r="E35" s="483" t="str">
        <f>Worksheet!E34</f>
        <v>Tube 1.5</v>
      </c>
      <c r="F35" s="504" t="str">
        <f>IF(Worksheet!F34&gt;0,Worksheet!F34," ")</f>
        <v xml:space="preserve"> </v>
      </c>
      <c r="G35" s="484" t="s">
        <v>4</v>
      </c>
      <c r="H35" s="518" t="str">
        <f>IF(Worksheet!H34&gt;0,Worksheet!H34," ")</f>
        <v xml:space="preserve"> </v>
      </c>
      <c r="I35" s="481" t="str">
        <f>IF(Worksheet!I34&gt;0,Worksheet!I34," ")</f>
        <v xml:space="preserve"> </v>
      </c>
      <c r="J35" s="481" t="str">
        <f>IF(Worksheet!J34&gt;0,Worksheet!J34," ")</f>
        <v xml:space="preserve"> </v>
      </c>
      <c r="K35" s="481" t="str">
        <f>IF(Worksheet!K34&gt;0,Worksheet!K34," ")</f>
        <v xml:space="preserve"> </v>
      </c>
      <c r="L35" s="481" t="str">
        <f>IF(Worksheet!L34&gt;0,Worksheet!L34," ")</f>
        <v xml:space="preserve"> </v>
      </c>
      <c r="M35" s="481" t="str">
        <f>IF(Worksheet!M34&gt;0,Worksheet!M34," ")</f>
        <v xml:space="preserve"> </v>
      </c>
      <c r="O35" s="481" t="str">
        <f>IF(Worksheet!N34&gt;0,Worksheet!N34," ")</f>
        <v xml:space="preserve"> </v>
      </c>
      <c r="P35" s="481" t="str">
        <f>IF(Worksheet!O34&gt;0,Worksheet!O34," ")</f>
        <v xml:space="preserve"> </v>
      </c>
      <c r="Q35" s="481" t="str">
        <f>IF(Worksheet!P34&gt;0,Worksheet!P34," ")</f>
        <v xml:space="preserve"> </v>
      </c>
      <c r="R35" s="481" t="str">
        <f>IF(Worksheet!Q34&gt;0,Worksheet!Q34," ")</f>
        <v xml:space="preserve"> </v>
      </c>
    </row>
    <row r="36" spans="1:18" ht="12.75" customHeight="1" x14ac:dyDescent="0.25">
      <c r="A36" s="354" t="s">
        <v>50</v>
      </c>
      <c r="B36" s="449" t="str">
        <f>HLOOKUP($P$5,'Data Sheet'!$B$2:$CM$27,21,FALSE)</f>
        <v>P1-RS20</v>
      </c>
      <c r="C36" s="481" t="str">
        <f>IF(Worksheet!C35&gt;0,Worksheet!C35," ")</f>
        <v xml:space="preserve"> </v>
      </c>
      <c r="D36" s="484"/>
      <c r="E36" s="483" t="str">
        <f>Worksheet!E35</f>
        <v>Tube 1.5</v>
      </c>
      <c r="F36" s="504" t="str">
        <f>IF(Worksheet!F35&gt;0,Worksheet!F35," ")</f>
        <v xml:space="preserve"> </v>
      </c>
      <c r="G36" s="484" t="s">
        <v>4</v>
      </c>
      <c r="H36" s="518" t="str">
        <f>IF(Worksheet!H35&gt;0,Worksheet!H35," ")</f>
        <v xml:space="preserve"> </v>
      </c>
      <c r="I36" s="481" t="str">
        <f>IF(Worksheet!I35&gt;0,Worksheet!I35," ")</f>
        <v xml:space="preserve"> </v>
      </c>
      <c r="J36" s="481" t="str">
        <f>IF(Worksheet!J35&gt;0,Worksheet!J35," ")</f>
        <v xml:space="preserve"> </v>
      </c>
      <c r="K36" s="481" t="str">
        <f>IF(Worksheet!K35&gt;0,Worksheet!K35," ")</f>
        <v xml:space="preserve"> </v>
      </c>
      <c r="L36" s="481" t="str">
        <f>IF(Worksheet!L35&gt;0,Worksheet!L35," ")</f>
        <v xml:space="preserve"> </v>
      </c>
      <c r="M36" s="481" t="str">
        <f>IF(Worksheet!M35&gt;0,Worksheet!M35," ")</f>
        <v xml:space="preserve"> </v>
      </c>
      <c r="O36" s="481" t="str">
        <f>IF(Worksheet!N35&gt;0,Worksheet!N35," ")</f>
        <v xml:space="preserve"> </v>
      </c>
      <c r="P36" s="481" t="str">
        <f>IF(Worksheet!O35&gt;0,Worksheet!O35," ")</f>
        <v xml:space="preserve"> </v>
      </c>
      <c r="Q36" s="481" t="str">
        <f>IF(Worksheet!P35&gt;0,Worksheet!P35," ")</f>
        <v xml:space="preserve"> </v>
      </c>
      <c r="R36" s="481" t="str">
        <f>IF(Worksheet!Q35&gt;0,Worksheet!Q35," ")</f>
        <v xml:space="preserve"> </v>
      </c>
    </row>
    <row r="37" spans="1:18" ht="12.75" customHeight="1" x14ac:dyDescent="0.25">
      <c r="A37" s="354" t="s">
        <v>182</v>
      </c>
      <c r="B37" s="449" t="str">
        <f>HLOOKUP($P$5,'Data Sheet'!$B$2:$CM$27,22,FALSE)</f>
        <v>P1-RS21</v>
      </c>
      <c r="C37" s="481" t="str">
        <f>IF(Worksheet!C36&gt;0,Worksheet!C36," ")</f>
        <v xml:space="preserve"> </v>
      </c>
      <c r="D37" s="484"/>
      <c r="E37" s="483" t="str">
        <f>Worksheet!E36</f>
        <v>Tube 1.5</v>
      </c>
      <c r="F37" s="504" t="str">
        <f>IF(Worksheet!F36&gt;0,Worksheet!F36," ")</f>
        <v xml:space="preserve"> </v>
      </c>
      <c r="G37" s="484" t="s">
        <v>4</v>
      </c>
      <c r="H37" s="518" t="str">
        <f>IF(Worksheet!H36&gt;0,Worksheet!H36," ")</f>
        <v xml:space="preserve"> </v>
      </c>
      <c r="I37" s="481" t="str">
        <f>IF(Worksheet!I36&gt;0,Worksheet!I36," ")</f>
        <v xml:space="preserve"> </v>
      </c>
      <c r="J37" s="481" t="str">
        <f>IF(Worksheet!J36&gt;0,Worksheet!J36," ")</f>
        <v xml:space="preserve"> </v>
      </c>
      <c r="K37" s="481" t="str">
        <f>IF(Worksheet!K36&gt;0,Worksheet!K36," ")</f>
        <v xml:space="preserve"> </v>
      </c>
      <c r="L37" s="481" t="str">
        <f>IF(Worksheet!L36&gt;0,Worksheet!L36," ")</f>
        <v xml:space="preserve"> </v>
      </c>
      <c r="M37" s="481" t="str">
        <f>IF(Worksheet!M36&gt;0,Worksheet!M36," ")</f>
        <v xml:space="preserve"> </v>
      </c>
      <c r="O37" s="481" t="str">
        <f>IF(Worksheet!N36&gt;0,Worksheet!N36," ")</f>
        <v xml:space="preserve"> </v>
      </c>
      <c r="P37" s="481" t="str">
        <f>IF(Worksheet!O36&gt;0,Worksheet!O36," ")</f>
        <v xml:space="preserve"> </v>
      </c>
      <c r="Q37" s="481" t="str">
        <f>IF(Worksheet!P36&gt;0,Worksheet!P36," ")</f>
        <v xml:space="preserve"> </v>
      </c>
      <c r="R37" s="481" t="str">
        <f>IF(Worksheet!Q36&gt;0,Worksheet!Q36," ")</f>
        <v xml:space="preserve"> </v>
      </c>
    </row>
    <row r="38" spans="1:18" ht="12.75" customHeight="1" x14ac:dyDescent="0.25">
      <c r="A38" s="354" t="s">
        <v>183</v>
      </c>
      <c r="B38" s="449" t="str">
        <f>HLOOKUP($P$5,'Data Sheet'!$B$2:$CM$27,23,FALSE)</f>
        <v>P1-RS22</v>
      </c>
      <c r="C38" s="481" t="str">
        <f>IF(Worksheet!C37&gt;0,Worksheet!C37," ")</f>
        <v xml:space="preserve"> </v>
      </c>
      <c r="D38" s="484"/>
      <c r="E38" s="483" t="str">
        <f>Worksheet!E37</f>
        <v>Tube 1.5</v>
      </c>
      <c r="F38" s="504" t="str">
        <f>IF(Worksheet!F37&gt;0,Worksheet!F37," ")</f>
        <v xml:space="preserve"> </v>
      </c>
      <c r="G38" s="484" t="s">
        <v>4</v>
      </c>
      <c r="H38" s="518" t="str">
        <f>IF(Worksheet!H37&gt;0,Worksheet!H37," ")</f>
        <v xml:space="preserve"> </v>
      </c>
      <c r="I38" s="481" t="str">
        <f>IF(Worksheet!I37&gt;0,Worksheet!I37," ")</f>
        <v xml:space="preserve"> </v>
      </c>
      <c r="J38" s="481" t="str">
        <f>IF(Worksheet!J37&gt;0,Worksheet!J37," ")</f>
        <v xml:space="preserve"> </v>
      </c>
      <c r="K38" s="481" t="str">
        <f>IF(Worksheet!K37&gt;0,Worksheet!K37," ")</f>
        <v xml:space="preserve"> </v>
      </c>
      <c r="L38" s="481" t="str">
        <f>IF(Worksheet!L37&gt;0,Worksheet!L37," ")</f>
        <v xml:space="preserve"> </v>
      </c>
      <c r="M38" s="481" t="str">
        <f>IF(Worksheet!M37&gt;0,Worksheet!M37," ")</f>
        <v xml:space="preserve"> </v>
      </c>
      <c r="O38" s="481" t="str">
        <f>IF(Worksheet!N37&gt;0,Worksheet!N37," ")</f>
        <v xml:space="preserve"> </v>
      </c>
      <c r="P38" s="481" t="str">
        <f>IF(Worksheet!O37&gt;0,Worksheet!O37," ")</f>
        <v xml:space="preserve"> </v>
      </c>
      <c r="Q38" s="481" t="str">
        <f>IF(Worksheet!P37&gt;0,Worksheet!P37," ")</f>
        <v xml:space="preserve"> </v>
      </c>
      <c r="R38" s="481" t="str">
        <f>IF(Worksheet!Q37&gt;0,Worksheet!Q37," ")</f>
        <v xml:space="preserve"> </v>
      </c>
    </row>
    <row r="39" spans="1:18" ht="12.75" customHeight="1" x14ac:dyDescent="0.25">
      <c r="A39" s="354" t="s">
        <v>184</v>
      </c>
      <c r="B39" s="449" t="str">
        <f>HLOOKUP($P$5,'Data Sheet'!$B$2:$CM$27,24,FALSE)</f>
        <v>P1-RS23</v>
      </c>
      <c r="C39" s="481" t="str">
        <f>IF(Worksheet!C38&gt;0,Worksheet!C38," ")</f>
        <v xml:space="preserve"> </v>
      </c>
      <c r="D39" s="484"/>
      <c r="E39" s="483" t="str">
        <f>Worksheet!E38</f>
        <v>Tube 1.5</v>
      </c>
      <c r="F39" s="504" t="str">
        <f>IF(Worksheet!F38&gt;0,Worksheet!F38," ")</f>
        <v xml:space="preserve"> </v>
      </c>
      <c r="G39" s="484" t="s">
        <v>4</v>
      </c>
      <c r="H39" s="518" t="str">
        <f>IF(Worksheet!H38&gt;0,Worksheet!H38," ")</f>
        <v xml:space="preserve"> </v>
      </c>
      <c r="I39" s="481" t="str">
        <f>IF(Worksheet!I38&gt;0,Worksheet!I38," ")</f>
        <v xml:space="preserve"> </v>
      </c>
      <c r="J39" s="481" t="str">
        <f>IF(Worksheet!J38&gt;0,Worksheet!J38," ")</f>
        <v xml:space="preserve"> </v>
      </c>
      <c r="K39" s="481" t="str">
        <f>IF(Worksheet!K38&gt;0,Worksheet!K38," ")</f>
        <v xml:space="preserve"> </v>
      </c>
      <c r="L39" s="481" t="str">
        <f>IF(Worksheet!L38&gt;0,Worksheet!L38," ")</f>
        <v xml:space="preserve"> </v>
      </c>
      <c r="M39" s="481" t="str">
        <f>IF(Worksheet!M38&gt;0,Worksheet!M38," ")</f>
        <v xml:space="preserve"> </v>
      </c>
      <c r="O39" s="481" t="str">
        <f>IF(Worksheet!N38&gt;0,Worksheet!N38," ")</f>
        <v xml:space="preserve"> </v>
      </c>
      <c r="P39" s="481" t="str">
        <f>IF(Worksheet!O38&gt;0,Worksheet!O38," ")</f>
        <v xml:space="preserve"> </v>
      </c>
      <c r="Q39" s="481" t="str">
        <f>IF(Worksheet!P38&gt;0,Worksheet!P38," ")</f>
        <v xml:space="preserve"> </v>
      </c>
      <c r="R39" s="481" t="str">
        <f>IF(Worksheet!Q38&gt;0,Worksheet!Q38," ")</f>
        <v xml:space="preserve"> </v>
      </c>
    </row>
    <row r="40" spans="1:18" ht="12.75" customHeight="1" x14ac:dyDescent="0.25">
      <c r="A40" s="354" t="s">
        <v>185</v>
      </c>
      <c r="B40" s="449" t="str">
        <f>HLOOKUP($P$5,'Data Sheet'!$B$2:$CM$27,25,FALSE)</f>
        <v>P1-RS24</v>
      </c>
      <c r="C40" s="481" t="str">
        <f>IF(Worksheet!C39&gt;0,Worksheet!C39," ")</f>
        <v xml:space="preserve"> </v>
      </c>
      <c r="D40" s="484"/>
      <c r="E40" s="483" t="str">
        <f>Worksheet!E39</f>
        <v>Tube 1.5</v>
      </c>
      <c r="F40" s="504" t="str">
        <f>IF(Worksheet!F39&gt;0,Worksheet!F39," ")</f>
        <v xml:space="preserve"> </v>
      </c>
      <c r="G40" s="484" t="s">
        <v>4</v>
      </c>
      <c r="H40" s="518" t="str">
        <f>IF(Worksheet!H39&gt;0,Worksheet!H39," ")</f>
        <v xml:space="preserve"> </v>
      </c>
      <c r="I40" s="481" t="str">
        <f>IF(Worksheet!I39&gt;0,Worksheet!I39," ")</f>
        <v xml:space="preserve"> </v>
      </c>
      <c r="J40" s="481" t="str">
        <f>IF(Worksheet!J39&gt;0,Worksheet!J39," ")</f>
        <v xml:space="preserve"> </v>
      </c>
      <c r="K40" s="481" t="str">
        <f>IF(Worksheet!K39&gt;0,Worksheet!K39," ")</f>
        <v xml:space="preserve"> </v>
      </c>
      <c r="L40" s="481" t="str">
        <f>IF(Worksheet!L39&gt;0,Worksheet!L39," ")</f>
        <v xml:space="preserve"> </v>
      </c>
      <c r="M40" s="481" t="str">
        <f>IF(Worksheet!M39&gt;0,Worksheet!M39," ")</f>
        <v xml:space="preserve"> </v>
      </c>
      <c r="O40" s="481" t="str">
        <f>IF(Worksheet!N39&gt;0,Worksheet!N39," ")</f>
        <v xml:space="preserve"> </v>
      </c>
      <c r="P40" s="481" t="str">
        <f>IF(Worksheet!O39&gt;0,Worksheet!O39," ")</f>
        <v xml:space="preserve"> </v>
      </c>
      <c r="Q40" s="481" t="str">
        <f>IF(Worksheet!P39&gt;0,Worksheet!P39," ")</f>
        <v xml:space="preserve"> </v>
      </c>
      <c r="R40" s="481" t="str">
        <f>IF(Worksheet!Q39&gt;0,Worksheet!Q39," ")</f>
        <v xml:space="preserve"> </v>
      </c>
    </row>
    <row r="41" spans="1:18" ht="12.75" customHeight="1" x14ac:dyDescent="0.25">
      <c r="A41" s="354" t="s">
        <v>186</v>
      </c>
      <c r="B41" s="449" t="str">
        <f>HLOOKUP($P$5,'Data Sheet'!$B$2:$CM$27,26,FALSE)</f>
        <v>P1-RS25</v>
      </c>
      <c r="C41" s="481" t="str">
        <f>IF(Worksheet!C40&gt;0,Worksheet!C40," ")</f>
        <v xml:space="preserve"> </v>
      </c>
      <c r="D41" s="484"/>
      <c r="E41" s="483" t="str">
        <f>Worksheet!E40</f>
        <v>Tube 1.5</v>
      </c>
      <c r="F41" s="504" t="str">
        <f>IF(Worksheet!F40&gt;0,Worksheet!F40," ")</f>
        <v xml:space="preserve"> </v>
      </c>
      <c r="G41" s="484" t="s">
        <v>4</v>
      </c>
      <c r="H41" s="518" t="str">
        <f>IF(Worksheet!H40&gt;0,Worksheet!H40," ")</f>
        <v xml:space="preserve"> </v>
      </c>
      <c r="I41" s="481" t="str">
        <f>IF(Worksheet!I40&gt;0,Worksheet!I40," ")</f>
        <v xml:space="preserve"> </v>
      </c>
      <c r="J41" s="481" t="str">
        <f>IF(Worksheet!J40&gt;0,Worksheet!J40," ")</f>
        <v xml:space="preserve"> </v>
      </c>
      <c r="K41" s="481" t="str">
        <f>IF(Worksheet!K40&gt;0,Worksheet!K40," ")</f>
        <v xml:space="preserve"> </v>
      </c>
      <c r="L41" s="481" t="str">
        <f>IF(Worksheet!L40&gt;0,Worksheet!L40," ")</f>
        <v xml:space="preserve"> </v>
      </c>
      <c r="M41" s="481" t="str">
        <f>IF(Worksheet!M40&gt;0,Worksheet!M40," ")</f>
        <v xml:space="preserve"> </v>
      </c>
      <c r="O41" s="481" t="str">
        <f>IF(Worksheet!N40&gt;0,Worksheet!N40," ")</f>
        <v xml:space="preserve"> </v>
      </c>
      <c r="P41" s="481" t="str">
        <f>IF(Worksheet!O40&gt;0,Worksheet!O40," ")</f>
        <v xml:space="preserve"> </v>
      </c>
      <c r="Q41" s="481" t="str">
        <f>IF(Worksheet!P40&gt;0,Worksheet!P40," ")</f>
        <v xml:space="preserve"> </v>
      </c>
      <c r="R41" s="481" t="str">
        <f>IF(Worksheet!Q40&gt;0,Worksheet!Q40," ")</f>
        <v xml:space="preserve"> </v>
      </c>
    </row>
    <row r="42" spans="1:18" s="391" customFormat="1" ht="15.75" customHeight="1" thickBot="1" x14ac:dyDescent="0.3">
      <c r="B42" s="485"/>
      <c r="C42" s="610">
        <f>SUM(D17:D41)</f>
        <v>0</v>
      </c>
      <c r="D42" s="610"/>
      <c r="E42" s="391" t="s">
        <v>8</v>
      </c>
      <c r="F42" s="486"/>
      <c r="H42" s="487"/>
    </row>
    <row r="43" spans="1:18" ht="16.2" thickBot="1" x14ac:dyDescent="0.35">
      <c r="B43" s="477" t="s">
        <v>85</v>
      </c>
      <c r="C43" s="391"/>
      <c r="D43" s="488"/>
      <c r="E43" s="478"/>
      <c r="F43" s="486"/>
      <c r="G43" s="391"/>
      <c r="H43" s="478"/>
      <c r="I43" s="391"/>
      <c r="K43" s="489"/>
      <c r="L43" s="490" t="s">
        <v>204</v>
      </c>
      <c r="M43" s="491" t="str">
        <f>Worksheet!M42</f>
        <v>Doyle</v>
      </c>
      <c r="N43" s="468"/>
      <c r="O43" s="391"/>
      <c r="P43" s="619"/>
      <c r="Q43" s="619"/>
      <c r="R43" s="619"/>
    </row>
    <row r="44" spans="1:18" ht="15" customHeight="1" x14ac:dyDescent="0.3">
      <c r="E44" s="478"/>
      <c r="P44" s="619"/>
      <c r="Q44" s="619"/>
      <c r="R44" s="619"/>
    </row>
    <row r="45" spans="1:18" ht="15" customHeight="1" x14ac:dyDescent="0.25">
      <c r="D45" s="354"/>
      <c r="F45" s="451"/>
      <c r="H45" s="354"/>
      <c r="P45" s="619"/>
      <c r="Q45" s="619"/>
      <c r="R45" s="619"/>
    </row>
    <row r="46" spans="1:18" ht="15" customHeight="1" x14ac:dyDescent="0.25">
      <c r="D46" s="494"/>
      <c r="P46" s="391"/>
      <c r="Q46" s="391"/>
      <c r="R46" s="391"/>
    </row>
    <row r="57" spans="3:22" x14ac:dyDescent="0.25">
      <c r="C57" s="449"/>
      <c r="H57" s="358"/>
      <c r="J57" s="450"/>
      <c r="L57" s="358"/>
      <c r="P57" s="358"/>
      <c r="R57" s="450"/>
      <c r="T57" s="358"/>
      <c r="V57" s="450"/>
    </row>
  </sheetData>
  <mergeCells count="13">
    <mergeCell ref="P44:R44"/>
    <mergeCell ref="P45:R45"/>
    <mergeCell ref="Q2:R2"/>
    <mergeCell ref="B5:I7"/>
    <mergeCell ref="P7:Q7"/>
    <mergeCell ref="D12:D16"/>
    <mergeCell ref="C42:D42"/>
    <mergeCell ref="P43:R43"/>
    <mergeCell ref="L9:M9"/>
    <mergeCell ref="L10:M10"/>
    <mergeCell ref="L11:M11"/>
    <mergeCell ref="L12:M12"/>
    <mergeCell ref="L13:M13"/>
  </mergeCells>
  <conditionalFormatting sqref="D18:D41">
    <cfRule type="cellIs" dxfId="17" priority="1" stopIfTrue="1" operator="greaterThan">
      <formula>1</formula>
    </cfRule>
  </conditionalFormatting>
  <conditionalFormatting sqref="E17:E41">
    <cfRule type="expression" dxfId="16" priority="7" stopIfTrue="1">
      <formula>$D17&gt;1</formula>
    </cfRule>
  </conditionalFormatting>
  <conditionalFormatting sqref="P7:Q7">
    <cfRule type="containsBlanks" dxfId="15" priority="89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CE4E-16BE-439D-BA92-55907F502382}">
  <dimension ref="A1:BV58"/>
  <sheetViews>
    <sheetView showGridLines="0" view="pageBreakPreview" topLeftCell="A6" zoomScale="90" zoomScaleNormal="100" zoomScaleSheetLayoutView="90" workbookViewId="0">
      <selection activeCell="N5" sqref="N5"/>
    </sheetView>
  </sheetViews>
  <sheetFormatPr defaultColWidth="8.88671875" defaultRowHeight="13.2" x14ac:dyDescent="0.25"/>
  <cols>
    <col min="2" max="2" width="9.5546875" style="35" customWidth="1"/>
    <col min="3" max="3" width="16" customWidth="1"/>
    <col min="4" max="4" width="3.109375" style="8" customWidth="1"/>
    <col min="5" max="5" width="8" customWidth="1"/>
    <col min="6" max="6" width="7" style="5" customWidth="1"/>
    <col min="7" max="7" width="2.109375" customWidth="1"/>
    <col min="8" max="8" width="7.109375" style="6" customWidth="1"/>
    <col min="9" max="9" width="3.44140625" customWidth="1"/>
    <col min="10" max="10" width="5.109375" customWidth="1"/>
    <col min="11" max="11" width="7.44140625" customWidth="1"/>
    <col min="12" max="12" width="6.44140625" customWidth="1"/>
    <col min="13" max="13" width="24.109375" customWidth="1"/>
    <col min="14" max="14" width="33.33203125" customWidth="1"/>
    <col min="15" max="15" width="5.109375" customWidth="1"/>
    <col min="16" max="16" width="6.6640625" customWidth="1"/>
    <col min="17" max="17" width="7.5546875" customWidth="1"/>
    <col min="18" max="18" width="6.33203125" customWidth="1"/>
    <col min="19" max="19" width="13.5546875" style="37" customWidth="1"/>
    <col min="20" max="20" width="12.6640625" style="37" customWidth="1"/>
    <col min="21" max="21" width="14.88671875" style="37" customWidth="1"/>
    <col min="22" max="22" width="13.109375" style="37" bestFit="1" customWidth="1"/>
    <col min="23" max="23" width="15.5546875" style="37" bestFit="1" customWidth="1"/>
    <col min="24" max="24" width="13.109375" style="37" customWidth="1"/>
    <col min="25" max="25" width="14.33203125" style="37" customWidth="1"/>
    <col min="26" max="26" width="13.5546875" style="37" customWidth="1"/>
    <col min="27" max="27" width="16.44140625" style="37" customWidth="1"/>
    <col min="28" max="35" width="11.88671875" customWidth="1"/>
    <col min="37" max="37" width="2.88671875" customWidth="1"/>
    <col min="38" max="38" width="16.33203125" customWidth="1"/>
    <col min="39" max="39" width="19.88671875" style="8" customWidth="1"/>
    <col min="40" max="40" width="4.44140625" style="8" customWidth="1"/>
    <col min="41" max="41" width="5.109375" style="8" customWidth="1"/>
    <col min="42" max="42" width="17.5546875" style="8" customWidth="1"/>
    <col min="43" max="43" width="6.33203125" style="8" customWidth="1"/>
    <col min="44" max="44" width="17.5546875" style="8" customWidth="1"/>
    <col min="45" max="45" width="5.88671875" style="8" customWidth="1"/>
    <col min="46" max="46" width="18.5546875" style="8" customWidth="1"/>
    <col min="47" max="47" width="5" style="8" customWidth="1"/>
    <col min="48" max="48" width="16.44140625" style="8" customWidth="1"/>
    <col min="49" max="49" width="2.5546875" style="8" customWidth="1"/>
    <col min="50" max="50" width="25.109375" style="8" customWidth="1"/>
    <col min="51" max="51" width="16.109375" style="8" customWidth="1"/>
    <col min="52" max="52" width="3" style="8" customWidth="1"/>
    <col min="53" max="53" width="3.88671875" style="8" customWidth="1"/>
    <col min="54" max="54" width="16.6640625" customWidth="1"/>
    <col min="56" max="56" width="6.109375" customWidth="1"/>
  </cols>
  <sheetData>
    <row r="1" spans="1:56" ht="7.5" customHeight="1" x14ac:dyDescent="0.25"/>
    <row r="2" spans="1:56" ht="25.2" thickBot="1" x14ac:dyDescent="0.45">
      <c r="J2" s="36" t="s">
        <v>86</v>
      </c>
      <c r="O2" s="503"/>
      <c r="P2" s="550"/>
      <c r="Q2" s="550"/>
      <c r="Y2" s="37" t="s">
        <v>30</v>
      </c>
      <c r="AA2" s="75">
        <f>jobnumber</f>
        <v>33303</v>
      </c>
      <c r="AP2" s="543" t="s">
        <v>2581</v>
      </c>
      <c r="AQ2" s="543"/>
      <c r="AR2" s="543"/>
      <c r="AS2" s="543"/>
      <c r="AT2" s="543"/>
      <c r="AU2" s="543"/>
    </row>
    <row r="3" spans="1:56" ht="15" customHeight="1" thickBot="1" x14ac:dyDescent="0.35">
      <c r="B3" s="38"/>
      <c r="K3" s="39" t="str">
        <f>IF(O12,"*Final Measurements*","")</f>
        <v/>
      </c>
      <c r="N3" s="522" t="s">
        <v>2658</v>
      </c>
      <c r="O3" s="553">
        <f>Worksheet!O3</f>
        <v>0</v>
      </c>
      <c r="P3" s="554"/>
      <c r="S3" s="34"/>
      <c r="T3" s="34" t="s">
        <v>7</v>
      </c>
      <c r="U3" s="34"/>
      <c r="V3" s="34"/>
    </row>
    <row r="4" spans="1:56" ht="12" customHeight="1" thickBot="1" x14ac:dyDescent="0.3">
      <c r="D4" s="40"/>
      <c r="N4" s="231"/>
      <c r="O4" s="232"/>
      <c r="P4" s="231"/>
      <c r="Q4" s="231"/>
      <c r="S4" s="34"/>
      <c r="T4" s="34"/>
      <c r="U4" s="34"/>
      <c r="V4" s="34"/>
      <c r="Z4" s="41"/>
      <c r="AA4" s="108"/>
    </row>
    <row r="5" spans="1:56" ht="13.5" customHeight="1" thickBot="1" x14ac:dyDescent="0.3">
      <c r="B5" s="41" t="s">
        <v>0</v>
      </c>
      <c r="C5" s="413" t="str">
        <f>bill_name</f>
        <v>JLL</v>
      </c>
      <c r="D5" s="307"/>
      <c r="E5" s="307"/>
      <c r="F5" s="307"/>
      <c r="G5" s="307"/>
      <c r="H5"/>
      <c r="I5" s="41" t="s">
        <v>1</v>
      </c>
      <c r="J5" s="416" t="str">
        <f>jobname</f>
        <v>Cottonwood Creek WO#I5187109-00104</v>
      </c>
      <c r="K5" s="308"/>
      <c r="L5" s="308"/>
      <c r="M5" s="309"/>
      <c r="N5" s="233" t="s">
        <v>2544</v>
      </c>
      <c r="O5" s="313">
        <v>2</v>
      </c>
      <c r="P5" s="234"/>
      <c r="Q5" s="235"/>
      <c r="S5" s="42" t="s">
        <v>0</v>
      </c>
      <c r="T5" s="226" t="str">
        <f>IF(C5="","",C5)</f>
        <v>JLL</v>
      </c>
      <c r="U5" s="227"/>
      <c r="V5" s="227"/>
      <c r="W5" s="44"/>
      <c r="X5" s="34" t="s">
        <v>2552</v>
      </c>
      <c r="Z5" s="511" t="s">
        <v>2640</v>
      </c>
      <c r="AA5" s="222">
        <v>16</v>
      </c>
    </row>
    <row r="6" spans="1:56" ht="13.5" customHeight="1" thickBot="1" x14ac:dyDescent="0.3">
      <c r="B6"/>
      <c r="C6" s="414" t="str">
        <f>IF(Worksheet!C6&gt;0,Worksheet!C6," ")</f>
        <v xml:space="preserve"> </v>
      </c>
      <c r="D6" s="310"/>
      <c r="E6" s="310"/>
      <c r="F6" s="311"/>
      <c r="G6" s="311"/>
      <c r="H6"/>
      <c r="J6" s="416" t="str">
        <f>IF(Worksheet!J6&gt;0,Worksheet!J6," ")</f>
        <v>1800 W 1800 N</v>
      </c>
      <c r="K6" s="308"/>
      <c r="L6" s="308"/>
      <c r="M6" s="308"/>
      <c r="N6" s="234"/>
      <c r="O6" s="236"/>
      <c r="P6" s="236"/>
      <c r="Q6" s="108"/>
      <c r="S6" s="34"/>
      <c r="T6" s="228"/>
      <c r="U6" s="229"/>
      <c r="V6" s="229"/>
      <c r="X6" s="304">
        <v>1.7999999999999999E-2</v>
      </c>
      <c r="Y6" s="322" t="s">
        <v>2547</v>
      </c>
      <c r="Z6" s="511" t="s">
        <v>2639</v>
      </c>
      <c r="AA6" s="222">
        <v>13</v>
      </c>
    </row>
    <row r="7" spans="1:56" ht="13.5" customHeight="1" thickBot="1" x14ac:dyDescent="0.35">
      <c r="B7"/>
      <c r="C7" s="519" t="str">
        <f>IF(Worksheet!C7&gt;0,Worksheet!C7," ")</f>
        <v xml:space="preserve"> </v>
      </c>
      <c r="D7" s="311"/>
      <c r="E7" s="311"/>
      <c r="F7" s="311"/>
      <c r="G7" s="311"/>
      <c r="H7"/>
      <c r="J7" s="416" t="str">
        <f>IF(Worksheet!J7&gt;0,Worksheet!J7," ")</f>
        <v>Farr West, UT 84404</v>
      </c>
      <c r="K7" s="308"/>
      <c r="L7" s="308"/>
      <c r="M7" s="308"/>
      <c r="N7" s="303" t="s">
        <v>2589</v>
      </c>
      <c r="O7" s="544" t="str">
        <f>IF(Worksheet!$O$7&gt;0,Worksheet!$O$7," ")</f>
        <v xml:space="preserve"> </v>
      </c>
      <c r="P7" s="545" t="str">
        <f>IF(Worksheet!P7&gt;0,Worksheet!P7," ")</f>
        <v xml:space="preserve"> </v>
      </c>
      <c r="Q7" s="108"/>
      <c r="S7" s="41" t="s">
        <v>1</v>
      </c>
      <c r="T7" s="226" t="str">
        <f>IF(J5="","",J5)</f>
        <v>Cottonwood Creek WO#I5187109-00104</v>
      </c>
      <c r="U7" s="227"/>
      <c r="V7" s="227"/>
      <c r="X7" s="304">
        <v>1.4999999999999999E-2</v>
      </c>
      <c r="Y7" s="322" t="s">
        <v>2548</v>
      </c>
      <c r="Z7" s="305" t="s">
        <v>2553</v>
      </c>
      <c r="AA7" s="222">
        <v>13</v>
      </c>
    </row>
    <row r="8" spans="1:56" ht="13.5" customHeight="1" thickBot="1" x14ac:dyDescent="0.3">
      <c r="B8" s="41" t="s">
        <v>193</v>
      </c>
      <c r="C8" s="521"/>
      <c r="D8" s="108"/>
      <c r="E8" s="108"/>
      <c r="F8" s="108"/>
      <c r="G8" s="108"/>
      <c r="H8" s="41"/>
      <c r="I8" s="41" t="s">
        <v>192</v>
      </c>
      <c r="J8" s="108"/>
      <c r="K8" s="108"/>
      <c r="L8" s="108"/>
      <c r="M8" s="108"/>
      <c r="N8" s="234"/>
      <c r="O8" s="236"/>
      <c r="P8" s="236"/>
      <c r="Q8" s="108"/>
      <c r="S8" s="34"/>
      <c r="T8" s="226" t="str">
        <f>IF(J6="","",J6)</f>
        <v>1800 W 1800 N</v>
      </c>
      <c r="U8" s="230"/>
      <c r="V8" s="230"/>
      <c r="X8" s="304"/>
      <c r="Y8" s="322" t="s">
        <v>2549</v>
      </c>
      <c r="Z8" s="306"/>
      <c r="AA8" s="223" t="b">
        <v>1</v>
      </c>
    </row>
    <row r="9" spans="1:56" ht="13.5" customHeight="1" thickBot="1" x14ac:dyDescent="0.3">
      <c r="B9" s="41" t="s">
        <v>11</v>
      </c>
      <c r="C9" s="520" t="str">
        <f>IF(Worksheet!C9&gt;0,Worksheet!C9," ")</f>
        <v xml:space="preserve"> </v>
      </c>
      <c r="D9" s="307"/>
      <c r="E9" s="307"/>
      <c r="F9" s="307"/>
      <c r="G9" s="307"/>
      <c r="H9" s="41"/>
      <c r="I9" s="41" t="s">
        <v>11</v>
      </c>
      <c r="J9" s="416" t="str">
        <f>IF(Worksheet!J9&gt;0,Worksheet!J9," ")</f>
        <v xml:space="preserve"> </v>
      </c>
      <c r="K9" s="308"/>
      <c r="L9" s="308"/>
      <c r="M9" s="308"/>
      <c r="N9" s="234"/>
      <c r="O9" s="234">
        <v>1</v>
      </c>
      <c r="P9" s="234"/>
      <c r="Q9" s="235"/>
      <c r="S9" s="34"/>
      <c r="T9" s="226" t="str">
        <f>IF(J7="","",J7)</f>
        <v>Farr West, UT 84404</v>
      </c>
      <c r="U9" s="230"/>
      <c r="V9" s="230"/>
      <c r="X9" s="304"/>
      <c r="Y9" s="322" t="s">
        <v>2550</v>
      </c>
      <c r="Z9" s="43" t="s">
        <v>173</v>
      </c>
      <c r="AA9" s="224">
        <v>0</v>
      </c>
    </row>
    <row r="10" spans="1:56" ht="13.5" customHeight="1" thickBot="1" x14ac:dyDescent="0.3">
      <c r="B10" s="41" t="s">
        <v>5</v>
      </c>
      <c r="C10" s="414" t="str">
        <f>IF(Worksheet!C10&gt;0,Worksheet!C10," ")</f>
        <v xml:space="preserve"> </v>
      </c>
      <c r="D10" s="307"/>
      <c r="E10" s="307"/>
      <c r="F10" s="307"/>
      <c r="G10" s="307"/>
      <c r="H10" s="41"/>
      <c r="I10" s="41" t="s">
        <v>5</v>
      </c>
      <c r="J10" s="416" t="str">
        <f>IF(Worksheet!J10&gt;0,Worksheet!J10," ")</f>
        <v xml:space="preserve"> </v>
      </c>
      <c r="K10" s="308"/>
      <c r="L10" s="308"/>
      <c r="M10" s="308"/>
      <c r="N10" s="234"/>
      <c r="O10" s="236"/>
      <c r="P10" s="236"/>
      <c r="Q10" s="108"/>
      <c r="W10" s="44"/>
      <c r="Z10" s="44" t="s">
        <v>188</v>
      </c>
      <c r="AA10" s="507" t="str">
        <f>M42</f>
        <v>Doyle</v>
      </c>
      <c r="AK10" s="546" t="s">
        <v>2587</v>
      </c>
      <c r="AL10" s="546"/>
      <c r="AM10" s="546"/>
      <c r="AN10" s="546"/>
    </row>
    <row r="11" spans="1:56" ht="13.5" customHeight="1" thickBot="1" x14ac:dyDescent="0.3">
      <c r="B11" s="78" t="s">
        <v>203</v>
      </c>
      <c r="C11" s="414" t="str">
        <f>IF(Worksheet!C11&gt;0,Worksheet!C11," ")</f>
        <v xml:space="preserve"> </v>
      </c>
      <c r="D11" s="311"/>
      <c r="E11" s="311"/>
      <c r="F11" s="311"/>
      <c r="G11" s="311"/>
      <c r="H11" s="41"/>
      <c r="I11" s="78" t="s">
        <v>203</v>
      </c>
      <c r="J11" s="416" t="str">
        <f>IF(Worksheet!J11&gt;0,Worksheet!J11," ")</f>
        <v xml:space="preserve"> </v>
      </c>
      <c r="K11" s="308"/>
      <c r="L11" s="308"/>
      <c r="M11" s="308"/>
      <c r="N11" s="234"/>
      <c r="O11" s="236"/>
      <c r="P11" s="236"/>
      <c r="Q11" s="108"/>
      <c r="Z11" s="44" t="s">
        <v>9</v>
      </c>
      <c r="AA11" s="225"/>
      <c r="AK11" s="546"/>
      <c r="AL11" s="546"/>
      <c r="AM11" s="546"/>
      <c r="AN11" s="546"/>
    </row>
    <row r="12" spans="1:56" ht="13.5" customHeight="1" thickBot="1" x14ac:dyDescent="0.3">
      <c r="B12" s="41" t="s">
        <v>187</v>
      </c>
      <c r="C12" s="414" t="str">
        <f>IF(Worksheet!C12&gt;0,Worksheet!C12," ")</f>
        <v xml:space="preserve"> </v>
      </c>
      <c r="D12" s="307"/>
      <c r="E12" s="307"/>
      <c r="F12" s="307"/>
      <c r="G12" s="307"/>
      <c r="H12" s="41"/>
      <c r="I12" s="41" t="s">
        <v>187</v>
      </c>
      <c r="J12" s="416" t="str">
        <f>IF(Worksheet!J12&gt;0,Worksheet!J12," ")</f>
        <v xml:space="preserve"> </v>
      </c>
      <c r="K12" s="308"/>
      <c r="L12" s="308"/>
      <c r="M12" s="308"/>
      <c r="N12" s="236"/>
      <c r="O12" s="237" t="b">
        <v>0</v>
      </c>
      <c r="P12" s="237"/>
      <c r="Q12" s="238"/>
      <c r="U12" s="45"/>
      <c r="V12" s="45"/>
      <c r="Z12" s="44" t="s">
        <v>10</v>
      </c>
      <c r="AA12" s="225"/>
      <c r="AK12" s="546"/>
      <c r="AL12" s="546"/>
      <c r="AM12" s="546"/>
      <c r="AN12" s="546"/>
    </row>
    <row r="13" spans="1:56" ht="12.75" customHeight="1" thickBot="1" x14ac:dyDescent="0.3">
      <c r="J13" s="555"/>
      <c r="K13" s="556"/>
      <c r="L13" s="556"/>
      <c r="M13" s="556"/>
      <c r="N13" s="122"/>
      <c r="O13" s="123"/>
      <c r="P13" s="123"/>
      <c r="Q13" s="106" t="s">
        <v>2590</v>
      </c>
      <c r="U13" s="45"/>
      <c r="V13" s="45"/>
      <c r="W13" s="45"/>
      <c r="X13" s="45"/>
      <c r="Y13" s="34" t="s">
        <v>2638</v>
      </c>
      <c r="AD13" s="552" t="s">
        <v>2651</v>
      </c>
      <c r="AE13" s="552"/>
      <c r="AF13" s="552"/>
      <c r="AG13" s="552"/>
      <c r="AH13" s="552"/>
      <c r="AV13" s="248"/>
    </row>
    <row r="14" spans="1:56" ht="12.75" customHeight="1" thickBot="1" x14ac:dyDescent="0.35">
      <c r="I14" s="46" t="s">
        <v>76</v>
      </c>
      <c r="J14" s="46" t="s">
        <v>13</v>
      </c>
      <c r="K14" s="46" t="s">
        <v>80</v>
      </c>
      <c r="L14" s="129" t="s">
        <v>16</v>
      </c>
      <c r="M14" s="46" t="s">
        <v>18</v>
      </c>
      <c r="O14" s="120"/>
      <c r="P14" s="106" t="s">
        <v>205</v>
      </c>
      <c r="Q14" s="106" t="s">
        <v>250</v>
      </c>
      <c r="Y14" s="510">
        <v>28</v>
      </c>
      <c r="AD14" s="552"/>
      <c r="AE14" s="552"/>
      <c r="AF14" s="552"/>
      <c r="AG14" s="552"/>
      <c r="AH14" s="552"/>
      <c r="AK14" s="245"/>
      <c r="AL14" s="68"/>
      <c r="AM14" s="260"/>
      <c r="AN14" s="260"/>
      <c r="AO14" s="261"/>
      <c r="AP14" s="260"/>
      <c r="AQ14" s="291"/>
      <c r="AR14" s="269"/>
      <c r="AS14" s="261"/>
      <c r="AT14" s="260"/>
      <c r="AU14" s="260"/>
      <c r="AV14" s="261"/>
      <c r="AW14" s="261"/>
      <c r="AX14" s="547"/>
      <c r="AY14" s="547"/>
      <c r="AZ14" s="548"/>
      <c r="BA14" s="335"/>
      <c r="BB14" s="336"/>
      <c r="BC14" s="68"/>
      <c r="BD14" s="337"/>
    </row>
    <row r="15" spans="1:56" ht="13.65" customHeight="1" x14ac:dyDescent="0.3">
      <c r="C15" s="46" t="s">
        <v>2</v>
      </c>
      <c r="D15" s="47" t="s">
        <v>12</v>
      </c>
      <c r="E15" s="129" t="s">
        <v>2511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249</v>
      </c>
      <c r="O15" s="121" t="s">
        <v>248</v>
      </c>
      <c r="P15" s="107" t="s">
        <v>206</v>
      </c>
      <c r="Q15" s="107" t="s">
        <v>13</v>
      </c>
      <c r="R15" s="46"/>
      <c r="S15" s="51" t="s">
        <v>2595</v>
      </c>
      <c r="T15" s="52" t="s">
        <v>19</v>
      </c>
      <c r="U15" s="53" t="s">
        <v>2596</v>
      </c>
      <c r="V15" s="53" t="s">
        <v>80</v>
      </c>
      <c r="W15" s="53" t="s">
        <v>2597</v>
      </c>
      <c r="X15" s="317" t="s">
        <v>2545</v>
      </c>
      <c r="Y15" s="52" t="s">
        <v>2598</v>
      </c>
      <c r="Z15" s="54" t="s">
        <v>58</v>
      </c>
      <c r="AA15" s="52"/>
      <c r="AD15" s="117" t="s">
        <v>2652</v>
      </c>
      <c r="AE15" s="117" t="s">
        <v>2653</v>
      </c>
      <c r="AF15" s="117" t="s">
        <v>2654</v>
      </c>
      <c r="AG15" s="117" t="s">
        <v>2655</v>
      </c>
      <c r="AH15" s="117" t="s">
        <v>2656</v>
      </c>
      <c r="AK15" s="246"/>
      <c r="AM15" s="249" t="s">
        <v>2546</v>
      </c>
      <c r="AN15" s="249"/>
      <c r="AO15" s="262"/>
      <c r="AP15" s="346" t="s">
        <v>2564</v>
      </c>
      <c r="AQ15" s="292"/>
      <c r="AR15" s="270" t="s">
        <v>2539</v>
      </c>
      <c r="AS15" s="273"/>
      <c r="AT15" s="272" t="s">
        <v>2616</v>
      </c>
      <c r="AU15" s="268"/>
      <c r="AV15" s="262" t="s">
        <v>2543</v>
      </c>
      <c r="AW15" s="262"/>
      <c r="AX15" s="249" t="s">
        <v>2541</v>
      </c>
      <c r="AY15" s="249"/>
      <c r="AZ15" s="279"/>
      <c r="BA15" s="218"/>
      <c r="BB15" s="533" t="s">
        <v>2610</v>
      </c>
      <c r="BC15" s="533"/>
      <c r="BD15" s="3"/>
    </row>
    <row r="16" spans="1:56" ht="12.75" customHeight="1" x14ac:dyDescent="0.25">
      <c r="A16" t="s">
        <v>32</v>
      </c>
      <c r="B16" s="35" t="str">
        <f>HLOOKUP($O$5,'Data Sheet'!$B$2:$CM$27,2,FALSE)</f>
        <v>P2-RS1</v>
      </c>
      <c r="C16" s="104"/>
      <c r="D16" s="417"/>
      <c r="E16" s="321" t="str">
        <f>IF(OR(F16&gt;110,AND(F16&gt;95,H16&gt;60)),"Tube 1.75","Tube 1.5")</f>
        <v>Tube 1.5</v>
      </c>
      <c r="F16" s="411"/>
      <c r="G16" s="421" t="s">
        <v>4</v>
      </c>
      <c r="H16" s="58"/>
      <c r="I16" s="104"/>
      <c r="J16" s="517"/>
      <c r="K16" s="285"/>
      <c r="L16" s="239"/>
      <c r="M16" s="104"/>
      <c r="N16" s="412"/>
      <c r="O16" s="241" t="str">
        <f t="shared" ref="O16:O40" si="0">IF(D16&gt;0,IF(F16&gt;118,"RR","V")," ")</f>
        <v xml:space="preserve"> </v>
      </c>
      <c r="P16" s="275"/>
      <c r="Q16" s="275"/>
      <c r="R16" s="221">
        <f t="shared" ref="R16:R40" si="1">IF(M16=$Y$6,Fabric_1,IF(M16=$Y$7,Fabric_2,IF(M16=$Y$8,Fabric_3,IF(M16=$Y$9,Fabric_4,0))))</f>
        <v>0</v>
      </c>
      <c r="S16" s="220">
        <f>IF(D16&gt;0,IF(E16="Tube 1",F16*0.81+22+5,IF(E16="Tube 1.5",F16*0.5+22.5+5,IF(E16="Tube 1.75",F16*0.75+40.5+7,IF(E16="Tube 2.375",F16*0.8+40.5+7,0)))),0)</f>
        <v>0</v>
      </c>
      <c r="T16" s="80">
        <f t="shared" ref="T16:T40" si="2">+(F16*(H16+12))*R16</f>
        <v>0</v>
      </c>
      <c r="U16" s="81">
        <f t="shared" ref="U16:U40" si="3">+T16*D16+S16*D16</f>
        <v>0</v>
      </c>
      <c r="V16" s="81">
        <f t="shared" ref="V16:V40" si="4">+IF(K16&gt;0,D16*F16/12*facia,0)</f>
        <v>0</v>
      </c>
      <c r="W16" s="81">
        <f t="shared" ref="W16:W40" si="5">IF(J16&gt;0,D16*2*H16/12*channel,0)</f>
        <v>0</v>
      </c>
      <c r="X16" s="81" t="str">
        <f t="shared" ref="X16:X40" si="6">IF(K16&gt;0,D16*bracket," ")</f>
        <v xml:space="preserve"> </v>
      </c>
      <c r="Y16" s="244">
        <f>IF($O$9=1,IF(D16&gt;0,D16*$Y$14,0))</f>
        <v>0</v>
      </c>
      <c r="Z16" s="81">
        <f t="shared" ref="Z16:Z40" si="7">+IF(J16&gt;0,H16*0.2,0)</f>
        <v>0</v>
      </c>
      <c r="AA16" s="110">
        <f>SUM(U16:Z16)</f>
        <v>0</v>
      </c>
      <c r="AD16" s="55">
        <v>0</v>
      </c>
      <c r="AE16" s="55" t="str">
        <f>IF($J16="yes",0.5," ")</f>
        <v xml:space="preserve"> </v>
      </c>
      <c r="AF16" s="55" t="str">
        <f>IF($P16="7in Dual",0.375,IF($P16=" ",0," "))</f>
        <v xml:space="preserve"> </v>
      </c>
      <c r="AG16" s="55">
        <v>1.375</v>
      </c>
      <c r="AH16" s="58">
        <f>IF($E16="Fabric ONLY",0,$F16-SUM($AE16:$AG16))</f>
        <v>-1.375</v>
      </c>
      <c r="AK16" s="246"/>
      <c r="AL16" s="117" t="s">
        <v>2583</v>
      </c>
      <c r="AO16" s="218"/>
      <c r="AQ16" s="219"/>
      <c r="AR16" s="271">
        <f t="shared" ref="AR16:AR40" si="8">IF(D16&gt;0,$F16+2,0)</f>
        <v>0</v>
      </c>
      <c r="AS16" s="251"/>
      <c r="AU16" s="252"/>
      <c r="AV16" s="278">
        <f t="shared" ref="AV16:AV40" si="9">IF(D16&gt;0,H16-3,0)</f>
        <v>0</v>
      </c>
      <c r="AW16" s="278"/>
      <c r="AZ16" s="219"/>
      <c r="BA16" s="218"/>
      <c r="BD16" s="3"/>
    </row>
    <row r="17" spans="1:56" ht="12.75" customHeight="1" x14ac:dyDescent="0.25">
      <c r="A17" t="s">
        <v>33</v>
      </c>
      <c r="B17" s="35" t="str">
        <f>HLOOKUP($O$5,'Data Sheet'!$B$2:$CM$27,3,FALSE)</f>
        <v>P2-RS2</v>
      </c>
      <c r="C17" s="104"/>
      <c r="D17" s="417"/>
      <c r="E17" s="321" t="str">
        <f t="shared" ref="E17:E40" si="10">IF(OR(F17&gt;110,AND(F17&gt;95,H17&gt;60)),"Tube 1.75","Tube 1.5")</f>
        <v>Tube 1.5</v>
      </c>
      <c r="F17" s="411"/>
      <c r="G17" s="421" t="s">
        <v>4</v>
      </c>
      <c r="H17" s="58"/>
      <c r="I17" s="104"/>
      <c r="J17" s="517"/>
      <c r="K17" s="285"/>
      <c r="L17" s="239"/>
      <c r="M17" s="104"/>
      <c r="N17" s="104"/>
      <c r="O17" s="241" t="str">
        <f t="shared" si="0"/>
        <v xml:space="preserve"> </v>
      </c>
      <c r="P17" s="275"/>
      <c r="Q17" s="275"/>
      <c r="R17" s="221">
        <f t="shared" si="1"/>
        <v>0</v>
      </c>
      <c r="S17" s="220">
        <f t="shared" ref="S17:S40" si="11">IF(D17&gt;0,IF(E17="Tube 1",F17*0.81+22+5,IF(E17="Tube 1.5",F17*0.5+22.5+5,IF(E17="Tube 1.75",F17*0.75+40.5+7,IF(E17="Tube 2.375",F17*0.8+40.5+7,0)))),0)</f>
        <v>0</v>
      </c>
      <c r="T17" s="80">
        <f t="shared" si="2"/>
        <v>0</v>
      </c>
      <c r="U17" s="81">
        <f t="shared" si="3"/>
        <v>0</v>
      </c>
      <c r="V17" s="81">
        <f t="shared" si="4"/>
        <v>0</v>
      </c>
      <c r="W17" s="81">
        <f t="shared" si="5"/>
        <v>0</v>
      </c>
      <c r="X17" s="81" t="str">
        <f t="shared" si="6"/>
        <v xml:space="preserve"> </v>
      </c>
      <c r="Y17" s="244">
        <f t="shared" ref="Y17:Y40" si="12">IF($O$9=1,IF(D17&gt;0,D17*$Y$14,0))</f>
        <v>0</v>
      </c>
      <c r="Z17" s="81">
        <f t="shared" si="7"/>
        <v>0</v>
      </c>
      <c r="AA17" s="110">
        <f t="shared" ref="AA17:AA40" si="13">SUM(U17:Z17)</f>
        <v>0</v>
      </c>
      <c r="AD17" s="55">
        <v>0</v>
      </c>
      <c r="AE17" s="55" t="str">
        <f t="shared" ref="AE17:AE40" si="14">IF($J17="yes",0.5," ")</f>
        <v xml:space="preserve"> </v>
      </c>
      <c r="AF17" s="55" t="str">
        <f t="shared" ref="AF17:AF40" si="15">IF($P17="7in Dual",0.375,IF($P17=" ",0," "))</f>
        <v xml:space="preserve"> </v>
      </c>
      <c r="AG17" s="55">
        <v>1.375</v>
      </c>
      <c r="AH17" s="58">
        <f t="shared" ref="AH17:AH40" si="16">IF($E17="Fabric ONLY",0,$F17-SUM($AE17:$AG17))</f>
        <v>-1.375</v>
      </c>
      <c r="AK17" s="246"/>
      <c r="AL17" s="267" t="str">
        <f>Y6</f>
        <v>Fabric 1</v>
      </c>
      <c r="AM17" s="288">
        <f>SUMIF('Data Sheet'!$H$31:$H$55,'Worksheet (2)'!AL17,'Data Sheet'!$I$31:$I$55)</f>
        <v>0</v>
      </c>
      <c r="AN17" s="211"/>
      <c r="AO17" s="218"/>
      <c r="AP17" s="116" t="s">
        <v>2513</v>
      </c>
      <c r="AQ17" s="293"/>
      <c r="AR17" s="271">
        <f t="shared" si="8"/>
        <v>0</v>
      </c>
      <c r="AS17" s="287" t="s">
        <v>221</v>
      </c>
      <c r="AT17" s="217" t="s">
        <v>2560</v>
      </c>
      <c r="AU17" s="252"/>
      <c r="AV17" s="278">
        <f t="shared" si="9"/>
        <v>0</v>
      </c>
      <c r="AW17" s="280"/>
      <c r="AX17" s="276" t="s">
        <v>2567</v>
      </c>
      <c r="AZ17" s="219"/>
      <c r="BA17" s="218"/>
      <c r="BD17" s="3"/>
    </row>
    <row r="18" spans="1:56" ht="12.75" customHeight="1" x14ac:dyDescent="0.25">
      <c r="A18" t="s">
        <v>34</v>
      </c>
      <c r="B18" s="35" t="str">
        <f>HLOOKUP($O$5,'Data Sheet'!$B$2:$CM$27,4,FALSE)</f>
        <v>P2-RS3</v>
      </c>
      <c r="C18" s="104"/>
      <c r="D18" s="417"/>
      <c r="E18" s="321" t="s">
        <v>2513</v>
      </c>
      <c r="F18" s="411"/>
      <c r="G18" s="421" t="s">
        <v>4</v>
      </c>
      <c r="H18" s="58"/>
      <c r="I18" s="104"/>
      <c r="J18" s="517"/>
      <c r="K18" s="285"/>
      <c r="L18" s="239"/>
      <c r="M18" s="104"/>
      <c r="N18" s="412"/>
      <c r="O18" s="241" t="str">
        <f t="shared" si="0"/>
        <v xml:space="preserve"> </v>
      </c>
      <c r="P18" s="275"/>
      <c r="Q18" s="275"/>
      <c r="R18" s="221">
        <f t="shared" si="1"/>
        <v>0</v>
      </c>
      <c r="S18" s="220">
        <f t="shared" si="11"/>
        <v>0</v>
      </c>
      <c r="T18" s="80">
        <f t="shared" si="2"/>
        <v>0</v>
      </c>
      <c r="U18" s="81">
        <f t="shared" si="3"/>
        <v>0</v>
      </c>
      <c r="V18" s="81">
        <f t="shared" si="4"/>
        <v>0</v>
      </c>
      <c r="W18" s="81">
        <f t="shared" si="5"/>
        <v>0</v>
      </c>
      <c r="X18" s="81" t="str">
        <f t="shared" si="6"/>
        <v xml:space="preserve"> </v>
      </c>
      <c r="Y18" s="244">
        <f t="shared" si="12"/>
        <v>0</v>
      </c>
      <c r="Z18" s="81">
        <f t="shared" si="7"/>
        <v>0</v>
      </c>
      <c r="AA18" s="110">
        <f t="shared" si="13"/>
        <v>0</v>
      </c>
      <c r="AD18" s="55">
        <v>0</v>
      </c>
      <c r="AE18" s="55" t="str">
        <f t="shared" si="14"/>
        <v xml:space="preserve"> </v>
      </c>
      <c r="AF18" s="55" t="str">
        <f t="shared" si="15"/>
        <v xml:space="preserve"> </v>
      </c>
      <c r="AG18" s="55">
        <v>1.375</v>
      </c>
      <c r="AH18" s="58">
        <f t="shared" si="16"/>
        <v>-1.375</v>
      </c>
      <c r="AK18" s="246"/>
      <c r="AL18" s="117" t="s">
        <v>2584</v>
      </c>
      <c r="AO18" s="218"/>
      <c r="AP18" s="266">
        <f>SUMIF('Data Sheet'!$L$31:$L$55,AP17,'Data Sheet'!$M$31:$M$55)/12</f>
        <v>14.46875</v>
      </c>
      <c r="AQ18" s="294"/>
      <c r="AR18" s="271">
        <f t="shared" si="8"/>
        <v>0</v>
      </c>
      <c r="AS18" s="251"/>
      <c r="AT18" s="288">
        <f>SUMIFS('Data Sheet'!$R$31:$R$55,'Data Sheet'!$P$31:$P$55,'Data Sheet'!$B$38,'Data Sheet'!$Q$31:$Q$55,'Data Sheet'!$B$49)/12</f>
        <v>18.854166666666668</v>
      </c>
      <c r="AU18" s="252"/>
      <c r="AV18" s="278">
        <f t="shared" si="9"/>
        <v>0</v>
      </c>
      <c r="AW18" s="280"/>
      <c r="AZ18" s="219"/>
      <c r="BA18" s="218"/>
      <c r="BD18" s="3"/>
    </row>
    <row r="19" spans="1:56" ht="12.75" customHeight="1" x14ac:dyDescent="0.25">
      <c r="A19" t="s">
        <v>31</v>
      </c>
      <c r="B19" s="35" t="str">
        <f>HLOOKUP($O$5,'Data Sheet'!$B$2:$CM$27,5,FALSE)</f>
        <v>P2-RS4</v>
      </c>
      <c r="C19" s="104"/>
      <c r="D19" s="417"/>
      <c r="E19" s="321" t="str">
        <f t="shared" si="10"/>
        <v>Tube 1.5</v>
      </c>
      <c r="F19" s="411"/>
      <c r="G19" s="421" t="s">
        <v>4</v>
      </c>
      <c r="H19" s="58"/>
      <c r="I19" s="104"/>
      <c r="J19" s="517"/>
      <c r="K19" s="285"/>
      <c r="L19" s="239"/>
      <c r="M19" s="104"/>
      <c r="N19" s="104"/>
      <c r="O19" s="241" t="str">
        <f t="shared" si="0"/>
        <v xml:space="preserve"> </v>
      </c>
      <c r="P19" s="275"/>
      <c r="Q19" s="275"/>
      <c r="R19" s="221">
        <f t="shared" si="1"/>
        <v>0</v>
      </c>
      <c r="S19" s="220">
        <f t="shared" si="11"/>
        <v>0</v>
      </c>
      <c r="T19" s="80">
        <f t="shared" si="2"/>
        <v>0</v>
      </c>
      <c r="U19" s="81">
        <f t="shared" si="3"/>
        <v>0</v>
      </c>
      <c r="V19" s="81">
        <f t="shared" si="4"/>
        <v>0</v>
      </c>
      <c r="W19" s="81">
        <f t="shared" si="5"/>
        <v>0</v>
      </c>
      <c r="X19" s="81" t="str">
        <f t="shared" si="6"/>
        <v xml:space="preserve"> </v>
      </c>
      <c r="Y19" s="244">
        <f t="shared" si="12"/>
        <v>0</v>
      </c>
      <c r="Z19" s="81">
        <f t="shared" si="7"/>
        <v>0</v>
      </c>
      <c r="AA19" s="110">
        <f t="shared" si="13"/>
        <v>0</v>
      </c>
      <c r="AD19" s="55">
        <v>0</v>
      </c>
      <c r="AE19" s="55" t="str">
        <f t="shared" si="14"/>
        <v xml:space="preserve"> </v>
      </c>
      <c r="AF19" s="55" t="str">
        <f t="shared" si="15"/>
        <v xml:space="preserve"> </v>
      </c>
      <c r="AG19" s="55">
        <v>1.375</v>
      </c>
      <c r="AH19" s="58">
        <f t="shared" si="16"/>
        <v>-1.375</v>
      </c>
      <c r="AK19" s="246"/>
      <c r="AL19" s="267" t="str">
        <f>Y7</f>
        <v>Fabric 2</v>
      </c>
      <c r="AM19" s="288">
        <f>SUMIF('Data Sheet'!$H$31:$H$55,'Worksheet (2)'!AL19,'Data Sheet'!$I$31:$I$55)</f>
        <v>0</v>
      </c>
      <c r="AN19" s="211"/>
      <c r="AO19" s="218"/>
      <c r="AP19" s="116" t="s">
        <v>2514</v>
      </c>
      <c r="AQ19" s="293"/>
      <c r="AR19" s="271">
        <f t="shared" si="8"/>
        <v>0</v>
      </c>
      <c r="AS19" s="287" t="s">
        <v>221</v>
      </c>
      <c r="AT19" s="259" t="s">
        <v>2561</v>
      </c>
      <c r="AU19" s="252"/>
      <c r="AV19" s="278">
        <f t="shared" si="9"/>
        <v>0</v>
      </c>
      <c r="AW19" s="280"/>
      <c r="AX19" s="276" t="s">
        <v>2568</v>
      </c>
      <c r="AY19" s="56">
        <f>SUMIFS('Data Sheet'!$T$31:$T$55,'Data Sheet'!$U$31:$U$55,'Data Sheet'!$B$31,'Data Sheet'!$V$31:$V$55,'Data Sheet'!$B$37,'Data Sheet'!$W$31:$W$55,'Data Sheet'!$E$37)</f>
        <v>0</v>
      </c>
      <c r="AZ19" s="219"/>
      <c r="BA19" s="218"/>
      <c r="BB19" s="117" t="s">
        <v>2611</v>
      </c>
      <c r="BC19" s="55">
        <f>AY19+AY21+AY23</f>
        <v>0</v>
      </c>
      <c r="BD19" s="3"/>
    </row>
    <row r="20" spans="1:56" ht="12.75" customHeight="1" x14ac:dyDescent="0.25">
      <c r="A20" t="s">
        <v>35</v>
      </c>
      <c r="B20" s="35" t="str">
        <f>HLOOKUP($O$5,'Data Sheet'!$B$2:$CM$27,6,FALSE)</f>
        <v>P2-RS5</v>
      </c>
      <c r="C20" s="104"/>
      <c r="D20" s="417"/>
      <c r="E20" s="321" t="str">
        <f t="shared" si="10"/>
        <v>Tube 1.5</v>
      </c>
      <c r="F20" s="411"/>
      <c r="G20" s="421" t="s">
        <v>4</v>
      </c>
      <c r="H20" s="58"/>
      <c r="I20" s="104"/>
      <c r="J20" s="517"/>
      <c r="K20" s="285"/>
      <c r="L20" s="239"/>
      <c r="M20" s="104"/>
      <c r="N20" s="412"/>
      <c r="O20" s="241" t="str">
        <f t="shared" si="0"/>
        <v xml:space="preserve"> </v>
      </c>
      <c r="P20" s="275"/>
      <c r="Q20" s="275"/>
      <c r="R20" s="221">
        <f t="shared" si="1"/>
        <v>0</v>
      </c>
      <c r="S20" s="220">
        <f t="shared" si="11"/>
        <v>0</v>
      </c>
      <c r="T20" s="80">
        <f t="shared" si="2"/>
        <v>0</v>
      </c>
      <c r="U20" s="81">
        <f t="shared" si="3"/>
        <v>0</v>
      </c>
      <c r="V20" s="81">
        <f t="shared" si="4"/>
        <v>0</v>
      </c>
      <c r="W20" s="81">
        <f t="shared" si="5"/>
        <v>0</v>
      </c>
      <c r="X20" s="81" t="str">
        <f t="shared" si="6"/>
        <v xml:space="preserve"> </v>
      </c>
      <c r="Y20" s="244">
        <f t="shared" si="12"/>
        <v>0</v>
      </c>
      <c r="Z20" s="81">
        <f t="shared" si="7"/>
        <v>0</v>
      </c>
      <c r="AA20" s="110">
        <f t="shared" si="13"/>
        <v>0</v>
      </c>
      <c r="AD20" s="55">
        <v>0</v>
      </c>
      <c r="AE20" s="55" t="str">
        <f t="shared" si="14"/>
        <v xml:space="preserve"> </v>
      </c>
      <c r="AF20" s="55" t="str">
        <f t="shared" si="15"/>
        <v xml:space="preserve"> </v>
      </c>
      <c r="AG20" s="55">
        <v>1.375</v>
      </c>
      <c r="AH20" s="58">
        <f t="shared" si="16"/>
        <v>-1.375</v>
      </c>
      <c r="AK20" s="246"/>
      <c r="AL20" s="117" t="s">
        <v>2585</v>
      </c>
      <c r="AO20" s="218"/>
      <c r="AP20" s="266">
        <f>SUMIF('Data Sheet'!$L$31:$L$55,AP19,'Data Sheet'!$M$31:$M$55)/12</f>
        <v>0</v>
      </c>
      <c r="AQ20" s="294"/>
      <c r="AR20" s="271">
        <f t="shared" si="8"/>
        <v>0</v>
      </c>
      <c r="AS20" s="251"/>
      <c r="AT20" s="288">
        <f>SUMIFS('Data Sheet'!$R$31:$R$55,'Data Sheet'!$P$31:$P$55,'Data Sheet'!$B$38,'Data Sheet'!$Q$31:$Q$55,'Data Sheet'!$B$50)/12</f>
        <v>0</v>
      </c>
      <c r="AU20" s="252"/>
      <c r="AV20" s="278">
        <f t="shared" si="9"/>
        <v>0</v>
      </c>
      <c r="AW20" s="280"/>
      <c r="AZ20" s="219"/>
      <c r="BA20" s="218"/>
      <c r="BB20" s="5"/>
      <c r="BD20" s="3"/>
    </row>
    <row r="21" spans="1:56" ht="12.75" customHeight="1" x14ac:dyDescent="0.25">
      <c r="A21" t="s">
        <v>36</v>
      </c>
      <c r="B21" s="35" t="str">
        <f>HLOOKUP($O$5,'Data Sheet'!$B$2:$CM$27,7,FALSE)</f>
        <v>P2-RS6</v>
      </c>
      <c r="C21" s="104"/>
      <c r="D21" s="417"/>
      <c r="E21" s="321" t="str">
        <f t="shared" si="10"/>
        <v>Tube 1.5</v>
      </c>
      <c r="F21" s="411"/>
      <c r="G21" s="421" t="s">
        <v>4</v>
      </c>
      <c r="H21" s="58"/>
      <c r="I21" s="104"/>
      <c r="J21" s="517"/>
      <c r="K21" s="285"/>
      <c r="L21" s="239"/>
      <c r="M21" s="104"/>
      <c r="N21" s="240"/>
      <c r="O21" s="241" t="str">
        <f t="shared" si="0"/>
        <v xml:space="preserve"> </v>
      </c>
      <c r="P21" s="275"/>
      <c r="Q21" s="275"/>
      <c r="R21" s="221">
        <f t="shared" si="1"/>
        <v>0</v>
      </c>
      <c r="S21" s="220">
        <f t="shared" si="11"/>
        <v>0</v>
      </c>
      <c r="T21" s="80">
        <f t="shared" si="2"/>
        <v>0</v>
      </c>
      <c r="U21" s="81">
        <f t="shared" si="3"/>
        <v>0</v>
      </c>
      <c r="V21" s="81">
        <f t="shared" si="4"/>
        <v>0</v>
      </c>
      <c r="W21" s="81">
        <f t="shared" si="5"/>
        <v>0</v>
      </c>
      <c r="X21" s="81" t="str">
        <f t="shared" si="6"/>
        <v xml:space="preserve"> </v>
      </c>
      <c r="Y21" s="244">
        <f t="shared" si="12"/>
        <v>0</v>
      </c>
      <c r="Z21" s="81">
        <f t="shared" si="7"/>
        <v>0</v>
      </c>
      <c r="AA21" s="110">
        <f t="shared" si="13"/>
        <v>0</v>
      </c>
      <c r="AD21" s="55">
        <v>0</v>
      </c>
      <c r="AE21" s="55" t="str">
        <f t="shared" si="14"/>
        <v xml:space="preserve"> </v>
      </c>
      <c r="AF21" s="55" t="str">
        <f t="shared" si="15"/>
        <v xml:space="preserve"> </v>
      </c>
      <c r="AG21" s="55">
        <v>1.375</v>
      </c>
      <c r="AH21" s="58">
        <f t="shared" si="16"/>
        <v>-1.375</v>
      </c>
      <c r="AK21" s="246"/>
      <c r="AL21" s="267" t="str">
        <f>Y8</f>
        <v>Fabric 3</v>
      </c>
      <c r="AM21" s="288">
        <f>SUMIF('Data Sheet'!$H$31:$H$55,'Worksheet (2)'!AL21,'Data Sheet'!$I$31:$I$55)</f>
        <v>0</v>
      </c>
      <c r="AN21" s="211"/>
      <c r="AO21" s="218"/>
      <c r="AP21" s="116" t="s">
        <v>2515</v>
      </c>
      <c r="AQ21" s="293"/>
      <c r="AR21" s="271">
        <f t="shared" si="8"/>
        <v>0</v>
      </c>
      <c r="AS21" s="287" t="s">
        <v>221</v>
      </c>
      <c r="AT21" s="259" t="s">
        <v>2562</v>
      </c>
      <c r="AU21" s="252"/>
      <c r="AV21" s="278">
        <f t="shared" si="9"/>
        <v>0</v>
      </c>
      <c r="AW21" s="278"/>
      <c r="AX21" s="276" t="s">
        <v>2569</v>
      </c>
      <c r="AY21" s="56">
        <f>SUMIFS('Data Sheet'!$T$31:$T$55,'Data Sheet'!$U$31:$U$55,'Data Sheet'!$B$31,'Data Sheet'!$V$31:$V$55,'Data Sheet'!$B$37,'Data Sheet'!$W$31:$W$55,'Data Sheet'!$E$38)</f>
        <v>0</v>
      </c>
      <c r="AZ21" s="219"/>
      <c r="BA21" s="218"/>
      <c r="BB21" s="117" t="s">
        <v>2612</v>
      </c>
      <c r="BC21" s="55">
        <f>AY25+AY27+AY29</f>
        <v>0</v>
      </c>
      <c r="BD21" s="3"/>
    </row>
    <row r="22" spans="1:56" ht="12.75" customHeight="1" x14ac:dyDescent="0.25">
      <c r="A22" t="s">
        <v>37</v>
      </c>
      <c r="B22" s="35" t="str">
        <f>HLOOKUP($O$5,'Data Sheet'!$B$2:$CM$27,8,FALSE)</f>
        <v>P2-RS7</v>
      </c>
      <c r="C22" s="104"/>
      <c r="D22" s="417"/>
      <c r="E22" s="321" t="str">
        <f t="shared" si="10"/>
        <v>Tube 1.5</v>
      </c>
      <c r="F22" s="411"/>
      <c r="G22" s="421" t="s">
        <v>4</v>
      </c>
      <c r="H22" s="58"/>
      <c r="I22" s="104"/>
      <c r="J22" s="517"/>
      <c r="K22" s="285"/>
      <c r="L22" s="239"/>
      <c r="M22" s="104"/>
      <c r="N22" s="240"/>
      <c r="O22" s="241" t="str">
        <f t="shared" si="0"/>
        <v xml:space="preserve"> </v>
      </c>
      <c r="P22" s="275"/>
      <c r="Q22" s="275"/>
      <c r="R22" s="221">
        <f t="shared" si="1"/>
        <v>0</v>
      </c>
      <c r="S22" s="220">
        <f t="shared" si="11"/>
        <v>0</v>
      </c>
      <c r="T22" s="80">
        <f t="shared" si="2"/>
        <v>0</v>
      </c>
      <c r="U22" s="81">
        <f t="shared" si="3"/>
        <v>0</v>
      </c>
      <c r="V22" s="81">
        <f t="shared" si="4"/>
        <v>0</v>
      </c>
      <c r="W22" s="81">
        <f t="shared" si="5"/>
        <v>0</v>
      </c>
      <c r="X22" s="81" t="str">
        <f t="shared" si="6"/>
        <v xml:space="preserve"> </v>
      </c>
      <c r="Y22" s="244">
        <f t="shared" si="12"/>
        <v>0</v>
      </c>
      <c r="Z22" s="81">
        <f t="shared" si="7"/>
        <v>0</v>
      </c>
      <c r="AA22" s="110">
        <f t="shared" si="13"/>
        <v>0</v>
      </c>
      <c r="AD22" s="55">
        <v>0</v>
      </c>
      <c r="AE22" s="55" t="str">
        <f t="shared" si="14"/>
        <v xml:space="preserve"> </v>
      </c>
      <c r="AF22" s="55" t="str">
        <f t="shared" si="15"/>
        <v xml:space="preserve"> </v>
      </c>
      <c r="AG22" s="55">
        <v>1.375</v>
      </c>
      <c r="AH22" s="58">
        <f t="shared" si="16"/>
        <v>-1.375</v>
      </c>
      <c r="AK22" s="246"/>
      <c r="AL22" s="117" t="s">
        <v>2586</v>
      </c>
      <c r="AO22" s="218"/>
      <c r="AP22" s="266">
        <f>SUMIF('Data Sheet'!$L$31:$L$55,AP21,'Data Sheet'!$M$31:$M$55)/12</f>
        <v>7.333333333333333</v>
      </c>
      <c r="AQ22" s="294"/>
      <c r="AR22" s="271">
        <f t="shared" si="8"/>
        <v>0</v>
      </c>
      <c r="AS22" s="251"/>
      <c r="AT22" s="288">
        <f>SUMIFS('Data Sheet'!$R$31:$R$55,'Data Sheet'!$P$31:$P$55,'Data Sheet'!$B$38,'Data Sheet'!$Q$31:$Q$55,'Data Sheet'!$B$51)/12</f>
        <v>0</v>
      </c>
      <c r="AU22" s="252"/>
      <c r="AV22" s="278">
        <f t="shared" si="9"/>
        <v>0</v>
      </c>
      <c r="AW22" s="278"/>
      <c r="AZ22" s="219"/>
      <c r="BA22" s="218"/>
      <c r="BD22" s="3"/>
    </row>
    <row r="23" spans="1:56" ht="12.75" customHeight="1" x14ac:dyDescent="0.25">
      <c r="A23" t="s">
        <v>38</v>
      </c>
      <c r="B23" s="35" t="str">
        <f>HLOOKUP($O$5,'Data Sheet'!$B$2:$CM$27,9,FALSE)</f>
        <v>P2-RS8</v>
      </c>
      <c r="C23" s="104"/>
      <c r="D23" s="417"/>
      <c r="E23" s="321" t="str">
        <f t="shared" si="10"/>
        <v>Tube 1.5</v>
      </c>
      <c r="F23" s="411"/>
      <c r="G23" s="421" t="s">
        <v>4</v>
      </c>
      <c r="H23" s="58"/>
      <c r="I23" s="104"/>
      <c r="J23" s="517"/>
      <c r="K23" s="285"/>
      <c r="L23" s="239"/>
      <c r="M23" s="104"/>
      <c r="N23" s="240"/>
      <c r="O23" s="241" t="str">
        <f t="shared" si="0"/>
        <v xml:space="preserve"> </v>
      </c>
      <c r="P23" s="275"/>
      <c r="Q23" s="275"/>
      <c r="R23" s="221">
        <f t="shared" si="1"/>
        <v>0</v>
      </c>
      <c r="S23" s="220">
        <f t="shared" si="11"/>
        <v>0</v>
      </c>
      <c r="T23" s="80">
        <f t="shared" si="2"/>
        <v>0</v>
      </c>
      <c r="U23" s="81">
        <f t="shared" si="3"/>
        <v>0</v>
      </c>
      <c r="V23" s="81">
        <f t="shared" si="4"/>
        <v>0</v>
      </c>
      <c r="W23" s="81">
        <f t="shared" si="5"/>
        <v>0</v>
      </c>
      <c r="X23" s="81" t="str">
        <f t="shared" si="6"/>
        <v xml:space="preserve"> </v>
      </c>
      <c r="Y23" s="244">
        <f t="shared" si="12"/>
        <v>0</v>
      </c>
      <c r="Z23" s="81">
        <f t="shared" si="7"/>
        <v>0</v>
      </c>
      <c r="AA23" s="110">
        <f t="shared" si="13"/>
        <v>0</v>
      </c>
      <c r="AD23" s="55">
        <v>0</v>
      </c>
      <c r="AE23" s="55" t="str">
        <f t="shared" si="14"/>
        <v xml:space="preserve"> </v>
      </c>
      <c r="AF23" s="55" t="str">
        <f t="shared" si="15"/>
        <v xml:space="preserve"> </v>
      </c>
      <c r="AG23" s="55">
        <v>1.375</v>
      </c>
      <c r="AH23" s="58">
        <f t="shared" si="16"/>
        <v>-1.375</v>
      </c>
      <c r="AK23" s="246"/>
      <c r="AL23" s="267" t="str">
        <f>Y9</f>
        <v>Fabric 4</v>
      </c>
      <c r="AM23" s="288">
        <f>SUMIF('Data Sheet'!$H$31:$H$55,'Worksheet (2)'!AL23,'Data Sheet'!$I$31:$I$55)</f>
        <v>0</v>
      </c>
      <c r="AN23" s="211"/>
      <c r="AO23" s="218"/>
      <c r="AP23" s="116" t="s">
        <v>2512</v>
      </c>
      <c r="AQ23" s="293"/>
      <c r="AR23" s="271">
        <f t="shared" si="8"/>
        <v>0</v>
      </c>
      <c r="AS23" s="287" t="s">
        <v>221</v>
      </c>
      <c r="AT23" s="259" t="s">
        <v>2563</v>
      </c>
      <c r="AU23" s="252"/>
      <c r="AV23" s="278">
        <f t="shared" si="9"/>
        <v>0</v>
      </c>
      <c r="AW23" s="278"/>
      <c r="AX23" s="276" t="s">
        <v>2570</v>
      </c>
      <c r="AY23" s="56">
        <f>SUMIFS('Data Sheet'!$T$31:$T$55,'Data Sheet'!$U$31:$U$55,'Data Sheet'!$B$31,'Data Sheet'!$V$31:$V$55,'Data Sheet'!$B$37,'Data Sheet'!$W$31:$W$55,'Data Sheet'!$E$39)</f>
        <v>0</v>
      </c>
      <c r="AZ23" s="219"/>
      <c r="BA23" s="218"/>
      <c r="BB23" s="117" t="s">
        <v>2613</v>
      </c>
      <c r="BC23" s="55">
        <f>AY31+AY33+AY35+AY37</f>
        <v>5</v>
      </c>
      <c r="BD23" s="3"/>
    </row>
    <row r="24" spans="1:56" ht="12.75" customHeight="1" x14ac:dyDescent="0.25">
      <c r="A24" t="s">
        <v>39</v>
      </c>
      <c r="B24" s="35" t="str">
        <f>HLOOKUP($O$5,'Data Sheet'!$B$2:$CM$27,10,FALSE)</f>
        <v>P2-RS9</v>
      </c>
      <c r="C24" s="104"/>
      <c r="D24" s="417"/>
      <c r="E24" s="321" t="str">
        <f t="shared" si="10"/>
        <v>Tube 1.5</v>
      </c>
      <c r="F24" s="411"/>
      <c r="G24" s="421" t="s">
        <v>4</v>
      </c>
      <c r="H24" s="58"/>
      <c r="I24" s="104"/>
      <c r="J24" s="517"/>
      <c r="K24" s="285"/>
      <c r="L24" s="239"/>
      <c r="M24" s="104"/>
      <c r="N24" s="240"/>
      <c r="O24" s="241" t="str">
        <f t="shared" si="0"/>
        <v xml:space="preserve"> </v>
      </c>
      <c r="P24" s="275"/>
      <c r="Q24" s="275"/>
      <c r="R24" s="221">
        <f t="shared" si="1"/>
        <v>0</v>
      </c>
      <c r="S24" s="220">
        <f t="shared" si="11"/>
        <v>0</v>
      </c>
      <c r="T24" s="80">
        <f t="shared" si="2"/>
        <v>0</v>
      </c>
      <c r="U24" s="81">
        <f t="shared" si="3"/>
        <v>0</v>
      </c>
      <c r="V24" s="81">
        <f t="shared" si="4"/>
        <v>0</v>
      </c>
      <c r="W24" s="81">
        <f t="shared" si="5"/>
        <v>0</v>
      </c>
      <c r="X24" s="81" t="str">
        <f t="shared" si="6"/>
        <v xml:space="preserve"> </v>
      </c>
      <c r="Y24" s="244">
        <f t="shared" si="12"/>
        <v>0</v>
      </c>
      <c r="Z24" s="81">
        <f t="shared" si="7"/>
        <v>0</v>
      </c>
      <c r="AA24" s="110">
        <f t="shared" si="13"/>
        <v>0</v>
      </c>
      <c r="AD24" s="55">
        <v>0</v>
      </c>
      <c r="AE24" s="55" t="str">
        <f t="shared" si="14"/>
        <v xml:space="preserve"> </v>
      </c>
      <c r="AF24" s="55" t="str">
        <f t="shared" si="15"/>
        <v xml:space="preserve"> </v>
      </c>
      <c r="AG24" s="55">
        <v>1.375</v>
      </c>
      <c r="AH24" s="58">
        <f t="shared" si="16"/>
        <v>-1.375</v>
      </c>
      <c r="AK24" s="246"/>
      <c r="AL24" s="117"/>
      <c r="AO24" s="218"/>
      <c r="AP24" s="266">
        <f>SUMIF('Data Sheet'!$L$31:$L$55,AP23,'Data Sheet'!$M$31:$M$55)/12</f>
        <v>0</v>
      </c>
      <c r="AQ24" s="294"/>
      <c r="AR24" s="271">
        <f t="shared" si="8"/>
        <v>0</v>
      </c>
      <c r="AS24" s="251"/>
      <c r="AT24" s="288">
        <f>SUMIFS('Data Sheet'!$R$31:$R$55,'Data Sheet'!$P$31:$P$55,'Data Sheet'!$B$38,'Data Sheet'!$Q$31:$Q$55,'Data Sheet'!$B$52)/12</f>
        <v>0</v>
      </c>
      <c r="AU24" s="252"/>
      <c r="AV24" s="278">
        <f t="shared" si="9"/>
        <v>0</v>
      </c>
      <c r="AW24" s="278"/>
      <c r="AZ24" s="219"/>
      <c r="BA24" s="218"/>
      <c r="BD24" s="3"/>
    </row>
    <row r="25" spans="1:56" ht="12.75" customHeight="1" x14ac:dyDescent="0.25">
      <c r="A25" t="s">
        <v>40</v>
      </c>
      <c r="B25" s="35" t="str">
        <f>HLOOKUP($O$5,'Data Sheet'!$B$2:$CM$27,11,FALSE)</f>
        <v>P2-RS10</v>
      </c>
      <c r="C25" s="104"/>
      <c r="D25" s="417"/>
      <c r="E25" s="321" t="str">
        <f t="shared" si="10"/>
        <v>Tube 1.5</v>
      </c>
      <c r="F25" s="411"/>
      <c r="G25" s="421" t="s">
        <v>4</v>
      </c>
      <c r="H25" s="58"/>
      <c r="I25" s="104"/>
      <c r="J25" s="517"/>
      <c r="K25" s="285"/>
      <c r="L25" s="239"/>
      <c r="M25" s="104"/>
      <c r="N25" s="240"/>
      <c r="O25" s="241" t="str">
        <f t="shared" si="0"/>
        <v xml:space="preserve"> </v>
      </c>
      <c r="P25" s="275"/>
      <c r="Q25" s="275"/>
      <c r="R25" s="221">
        <f t="shared" si="1"/>
        <v>0</v>
      </c>
      <c r="S25" s="220">
        <f t="shared" si="11"/>
        <v>0</v>
      </c>
      <c r="T25" s="80">
        <f t="shared" si="2"/>
        <v>0</v>
      </c>
      <c r="U25" s="81">
        <f t="shared" si="3"/>
        <v>0</v>
      </c>
      <c r="V25" s="81">
        <f t="shared" si="4"/>
        <v>0</v>
      </c>
      <c r="W25" s="81">
        <f t="shared" si="5"/>
        <v>0</v>
      </c>
      <c r="X25" s="81" t="str">
        <f t="shared" si="6"/>
        <v xml:space="preserve"> </v>
      </c>
      <c r="Y25" s="244">
        <f t="shared" si="12"/>
        <v>0</v>
      </c>
      <c r="Z25" s="81">
        <f t="shared" si="7"/>
        <v>0</v>
      </c>
      <c r="AA25" s="110">
        <f t="shared" si="13"/>
        <v>0</v>
      </c>
      <c r="AD25" s="55">
        <v>0</v>
      </c>
      <c r="AE25" s="55" t="str">
        <f t="shared" si="14"/>
        <v xml:space="preserve"> </v>
      </c>
      <c r="AF25" s="55" t="str">
        <f t="shared" si="15"/>
        <v xml:space="preserve"> </v>
      </c>
      <c r="AG25" s="55">
        <v>1.375</v>
      </c>
      <c r="AH25" s="58">
        <f t="shared" si="16"/>
        <v>-1.375</v>
      </c>
      <c r="AK25" s="246"/>
      <c r="AL25" s="534" t="s">
        <v>2582</v>
      </c>
      <c r="AM25" s="535"/>
      <c r="AN25" s="250"/>
      <c r="AO25" s="263"/>
      <c r="AP25" s="35"/>
      <c r="AQ25" s="295"/>
      <c r="AR25" s="271">
        <f t="shared" si="8"/>
        <v>0</v>
      </c>
      <c r="AS25" s="251"/>
      <c r="AT25" s="211"/>
      <c r="AU25" s="252"/>
      <c r="AV25" s="278">
        <f t="shared" si="9"/>
        <v>0</v>
      </c>
      <c r="AW25" s="278"/>
      <c r="AX25" s="276" t="s">
        <v>2571</v>
      </c>
      <c r="AY25" s="56">
        <f>SUMIFS('Data Sheet'!$T$31:$T$55,'Data Sheet'!$U$31:$U$55,'Data Sheet'!$B$32,'Data Sheet'!$V$31:$V$55,'Data Sheet'!$B$37,'Data Sheet'!$W$31:$W$55,'Data Sheet'!$E$37)</f>
        <v>0</v>
      </c>
      <c r="AZ25" s="219"/>
      <c r="BA25" s="218"/>
      <c r="BB25" s="117" t="s">
        <v>2614</v>
      </c>
      <c r="BC25" s="338">
        <f>AY39+AY41+AY43</f>
        <v>0</v>
      </c>
      <c r="BD25" s="3"/>
    </row>
    <row r="26" spans="1:56" ht="12.75" customHeight="1" x14ac:dyDescent="0.3">
      <c r="A26" t="s">
        <v>41</v>
      </c>
      <c r="B26" s="35" t="str">
        <f>HLOOKUP($O$5,'Data Sheet'!$B$2:$CM$27,12,FALSE)</f>
        <v>P2-RS11</v>
      </c>
      <c r="C26" s="104"/>
      <c r="D26" s="417"/>
      <c r="E26" s="321" t="str">
        <f t="shared" si="10"/>
        <v>Tube 1.5</v>
      </c>
      <c r="F26" s="411"/>
      <c r="G26" s="421" t="s">
        <v>4</v>
      </c>
      <c r="H26" s="58"/>
      <c r="I26" s="104"/>
      <c r="J26" s="517"/>
      <c r="K26" s="285"/>
      <c r="L26" s="239"/>
      <c r="M26" s="104"/>
      <c r="N26" s="240"/>
      <c r="O26" s="241" t="str">
        <f t="shared" si="0"/>
        <v xml:space="preserve"> </v>
      </c>
      <c r="P26" s="275"/>
      <c r="Q26" s="275"/>
      <c r="R26" s="221">
        <f t="shared" si="1"/>
        <v>0</v>
      </c>
      <c r="S26" s="220">
        <f t="shared" si="11"/>
        <v>0</v>
      </c>
      <c r="T26" s="80">
        <f t="shared" si="2"/>
        <v>0</v>
      </c>
      <c r="U26" s="81">
        <f t="shared" si="3"/>
        <v>0</v>
      </c>
      <c r="V26" s="81">
        <f t="shared" si="4"/>
        <v>0</v>
      </c>
      <c r="W26" s="81">
        <f t="shared" si="5"/>
        <v>0</v>
      </c>
      <c r="X26" s="81" t="str">
        <f t="shared" si="6"/>
        <v xml:space="preserve"> </v>
      </c>
      <c r="Y26" s="244">
        <f t="shared" si="12"/>
        <v>0</v>
      </c>
      <c r="Z26" s="81">
        <f t="shared" si="7"/>
        <v>0</v>
      </c>
      <c r="AA26" s="110">
        <f t="shared" si="13"/>
        <v>0</v>
      </c>
      <c r="AD26" s="55">
        <v>0</v>
      </c>
      <c r="AE26" s="55" t="str">
        <f t="shared" si="14"/>
        <v xml:space="preserve"> </v>
      </c>
      <c r="AF26" s="55" t="str">
        <f t="shared" si="15"/>
        <v xml:space="preserve"> </v>
      </c>
      <c r="AG26" s="55">
        <v>1.375</v>
      </c>
      <c r="AH26" s="58">
        <f t="shared" si="16"/>
        <v>-1.375</v>
      </c>
      <c r="AK26" s="246"/>
      <c r="AL26" s="536"/>
      <c r="AM26" s="537"/>
      <c r="AN26" s="211"/>
      <c r="AO26" s="264"/>
      <c r="AP26" s="347" t="s">
        <v>2555</v>
      </c>
      <c r="AQ26" s="296"/>
      <c r="AR26" s="271">
        <f t="shared" si="8"/>
        <v>0</v>
      </c>
      <c r="AS26" s="251"/>
      <c r="AT26" s="211"/>
      <c r="AU26" s="252"/>
      <c r="AV26" s="278">
        <f t="shared" si="9"/>
        <v>0</v>
      </c>
      <c r="AW26" s="278"/>
      <c r="AZ26" s="219"/>
      <c r="BA26" s="218"/>
      <c r="BD26" s="3"/>
    </row>
    <row r="27" spans="1:56" ht="12.75" customHeight="1" thickBot="1" x14ac:dyDescent="0.3">
      <c r="A27" t="s">
        <v>42</v>
      </c>
      <c r="B27" s="35" t="str">
        <f>HLOOKUP($O$5,'Data Sheet'!$B$2:$CM$27,13,FALSE)</f>
        <v>P2-RS12</v>
      </c>
      <c r="C27" s="104"/>
      <c r="D27" s="417"/>
      <c r="E27" s="321" t="str">
        <f t="shared" si="10"/>
        <v>Tube 1.5</v>
      </c>
      <c r="F27" s="411"/>
      <c r="G27" s="421" t="s">
        <v>4</v>
      </c>
      <c r="H27" s="58"/>
      <c r="I27" s="104"/>
      <c r="J27" s="517"/>
      <c r="K27" s="285"/>
      <c r="L27" s="239"/>
      <c r="M27" s="104"/>
      <c r="N27" s="240"/>
      <c r="O27" s="241" t="str">
        <f t="shared" si="0"/>
        <v xml:space="preserve"> </v>
      </c>
      <c r="P27" s="275"/>
      <c r="Q27" s="275"/>
      <c r="R27" s="221">
        <f t="shared" si="1"/>
        <v>0</v>
      </c>
      <c r="S27" s="220">
        <f t="shared" si="11"/>
        <v>0</v>
      </c>
      <c r="T27" s="80">
        <f t="shared" si="2"/>
        <v>0</v>
      </c>
      <c r="U27" s="81">
        <f t="shared" si="3"/>
        <v>0</v>
      </c>
      <c r="V27" s="81">
        <f t="shared" si="4"/>
        <v>0</v>
      </c>
      <c r="W27" s="81">
        <f t="shared" si="5"/>
        <v>0</v>
      </c>
      <c r="X27" s="81" t="str">
        <f t="shared" si="6"/>
        <v xml:space="preserve"> </v>
      </c>
      <c r="Y27" s="244">
        <f t="shared" si="12"/>
        <v>0</v>
      </c>
      <c r="Z27" s="81">
        <f t="shared" si="7"/>
        <v>0</v>
      </c>
      <c r="AA27" s="110">
        <f t="shared" si="13"/>
        <v>0</v>
      </c>
      <c r="AD27" s="55">
        <v>0</v>
      </c>
      <c r="AE27" s="55" t="str">
        <f t="shared" si="14"/>
        <v xml:space="preserve"> </v>
      </c>
      <c r="AF27" s="55" t="str">
        <f t="shared" si="15"/>
        <v xml:space="preserve"> </v>
      </c>
      <c r="AG27" s="55">
        <v>1.375</v>
      </c>
      <c r="AH27" s="58">
        <f t="shared" si="16"/>
        <v>-1.375</v>
      </c>
      <c r="AK27" s="246"/>
      <c r="AL27" s="536"/>
      <c r="AM27" s="537"/>
      <c r="AO27" s="218"/>
      <c r="AQ27" s="219"/>
      <c r="AR27" s="271">
        <f t="shared" si="8"/>
        <v>0</v>
      </c>
      <c r="AS27" s="251"/>
      <c r="AU27" s="252"/>
      <c r="AV27" s="278">
        <f t="shared" si="9"/>
        <v>0</v>
      </c>
      <c r="AW27" s="278"/>
      <c r="AX27" s="276" t="s">
        <v>2572</v>
      </c>
      <c r="AY27" s="56">
        <f>SUMIFS('Data Sheet'!$T$31:$T$55,'Data Sheet'!$U$31:$U$55,'Data Sheet'!$B$32,'Data Sheet'!$V$31:$V$55,'Data Sheet'!$B$37,'Data Sheet'!$W$31:$W$55,'Data Sheet'!$E$38)</f>
        <v>0</v>
      </c>
      <c r="AZ27" s="219"/>
      <c r="BA27" s="265"/>
      <c r="BB27" s="69"/>
      <c r="BC27" s="69"/>
      <c r="BD27" s="70"/>
    </row>
    <row r="28" spans="1:56" ht="12.75" customHeight="1" x14ac:dyDescent="0.25">
      <c r="A28" t="s">
        <v>43</v>
      </c>
      <c r="B28" s="35" t="str">
        <f>HLOOKUP($O$5,'Data Sheet'!$B$2:$CM$27,14,FALSE)</f>
        <v>P2-RS13</v>
      </c>
      <c r="C28" s="239"/>
      <c r="D28" s="417"/>
      <c r="E28" s="321" t="str">
        <f t="shared" si="10"/>
        <v>Tube 1.5</v>
      </c>
      <c r="F28" s="411"/>
      <c r="G28" s="421" t="s">
        <v>4</v>
      </c>
      <c r="H28" s="58"/>
      <c r="I28" s="104"/>
      <c r="J28" s="517"/>
      <c r="K28" s="285"/>
      <c r="L28" s="239"/>
      <c r="M28" s="104"/>
      <c r="N28" s="240"/>
      <c r="O28" s="241" t="str">
        <f t="shared" si="0"/>
        <v xml:space="preserve"> </v>
      </c>
      <c r="P28" s="275"/>
      <c r="Q28" s="275"/>
      <c r="R28" s="221">
        <f t="shared" si="1"/>
        <v>0</v>
      </c>
      <c r="S28" s="220">
        <f t="shared" si="11"/>
        <v>0</v>
      </c>
      <c r="T28" s="80">
        <f t="shared" si="2"/>
        <v>0</v>
      </c>
      <c r="U28" s="81">
        <f t="shared" si="3"/>
        <v>0</v>
      </c>
      <c r="V28" s="81">
        <f t="shared" si="4"/>
        <v>0</v>
      </c>
      <c r="W28" s="81">
        <f t="shared" si="5"/>
        <v>0</v>
      </c>
      <c r="X28" s="81" t="str">
        <f t="shared" si="6"/>
        <v xml:space="preserve"> </v>
      </c>
      <c r="Y28" s="244">
        <f t="shared" si="12"/>
        <v>0</v>
      </c>
      <c r="Z28" s="81">
        <f t="shared" si="7"/>
        <v>0</v>
      </c>
      <c r="AA28" s="110">
        <f t="shared" si="13"/>
        <v>0</v>
      </c>
      <c r="AD28" s="55">
        <v>0</v>
      </c>
      <c r="AE28" s="55" t="str">
        <f t="shared" si="14"/>
        <v xml:space="preserve"> </v>
      </c>
      <c r="AF28" s="55" t="str">
        <f t="shared" si="15"/>
        <v xml:space="preserve"> </v>
      </c>
      <c r="AG28" s="55">
        <v>1.375</v>
      </c>
      <c r="AH28" s="58">
        <f t="shared" si="16"/>
        <v>-1.375</v>
      </c>
      <c r="AK28" s="246"/>
      <c r="AL28" s="536"/>
      <c r="AM28" s="537"/>
      <c r="AN28" s="211"/>
      <c r="AO28" s="264"/>
      <c r="AP28" s="116" t="s">
        <v>2513</v>
      </c>
      <c r="AQ28" s="293"/>
      <c r="AR28" s="271">
        <f t="shared" si="8"/>
        <v>0</v>
      </c>
      <c r="AS28" s="287" t="s">
        <v>220</v>
      </c>
      <c r="AT28" s="217" t="s">
        <v>2560</v>
      </c>
      <c r="AU28" s="252"/>
      <c r="AV28" s="278">
        <f t="shared" si="9"/>
        <v>0</v>
      </c>
      <c r="AW28" s="278"/>
      <c r="AZ28" s="219"/>
    </row>
    <row r="29" spans="1:56" ht="12.75" customHeight="1" x14ac:dyDescent="0.25">
      <c r="A29" t="s">
        <v>44</v>
      </c>
      <c r="B29" s="35" t="str">
        <f>HLOOKUP($O$5,'Data Sheet'!$B$2:$CM$27,15,FALSE)</f>
        <v>P2-RS14</v>
      </c>
      <c r="C29" s="239"/>
      <c r="D29" s="417"/>
      <c r="E29" s="321" t="str">
        <f t="shared" si="10"/>
        <v>Tube 1.5</v>
      </c>
      <c r="F29" s="411"/>
      <c r="G29" s="421" t="s">
        <v>4</v>
      </c>
      <c r="H29" s="58"/>
      <c r="I29" s="104"/>
      <c r="J29" s="517"/>
      <c r="K29" s="285"/>
      <c r="L29" s="239"/>
      <c r="M29" s="104"/>
      <c r="N29" s="240"/>
      <c r="O29" s="241" t="str">
        <f t="shared" si="0"/>
        <v xml:space="preserve"> </v>
      </c>
      <c r="P29" s="275"/>
      <c r="Q29" s="275"/>
      <c r="R29" s="221">
        <f t="shared" si="1"/>
        <v>0</v>
      </c>
      <c r="S29" s="220">
        <f t="shared" si="11"/>
        <v>0</v>
      </c>
      <c r="T29" s="80">
        <f t="shared" si="2"/>
        <v>0</v>
      </c>
      <c r="U29" s="81">
        <f t="shared" si="3"/>
        <v>0</v>
      </c>
      <c r="V29" s="81">
        <f t="shared" si="4"/>
        <v>0</v>
      </c>
      <c r="W29" s="81">
        <f t="shared" si="5"/>
        <v>0</v>
      </c>
      <c r="X29" s="81" t="str">
        <f t="shared" si="6"/>
        <v xml:space="preserve"> </v>
      </c>
      <c r="Y29" s="244">
        <f t="shared" si="12"/>
        <v>0</v>
      </c>
      <c r="Z29" s="81">
        <f t="shared" si="7"/>
        <v>0</v>
      </c>
      <c r="AA29" s="110">
        <f t="shared" si="13"/>
        <v>0</v>
      </c>
      <c r="AD29" s="55">
        <v>0</v>
      </c>
      <c r="AE29" s="55" t="str">
        <f t="shared" si="14"/>
        <v xml:space="preserve"> </v>
      </c>
      <c r="AF29" s="55" t="str">
        <f t="shared" si="15"/>
        <v xml:space="preserve"> </v>
      </c>
      <c r="AG29" s="55">
        <v>1.375</v>
      </c>
      <c r="AH29" s="58">
        <f t="shared" si="16"/>
        <v>-1.375</v>
      </c>
      <c r="AK29" s="246"/>
      <c r="AL29" s="536"/>
      <c r="AM29" s="537"/>
      <c r="AO29" s="218"/>
      <c r="AP29" s="266">
        <f>SUMIF('Data Sheet'!$L$31:$L$55,AP28,'Data Sheet'!$M$31:$M$55)/192</f>
        <v>0.904296875</v>
      </c>
      <c r="AQ29" s="294"/>
      <c r="AR29" s="271">
        <f t="shared" si="8"/>
        <v>0</v>
      </c>
      <c r="AS29" s="251"/>
      <c r="AT29" s="288">
        <f>SUMIFS('Data Sheet'!$R$31:$R$55,'Data Sheet'!$P$31:$P$55,'Data Sheet'!$B$37,'Data Sheet'!$Q$31:$Q$55,'Data Sheet'!$B$49)/12</f>
        <v>0</v>
      </c>
      <c r="AU29" s="252"/>
      <c r="AV29" s="278">
        <f t="shared" si="9"/>
        <v>0</v>
      </c>
      <c r="AW29" s="278"/>
      <c r="AX29" s="276" t="s">
        <v>2573</v>
      </c>
      <c r="AY29" s="56">
        <f>SUMIFS('Data Sheet'!$T$31:$T$55,'Data Sheet'!$U$31:$U$55,'Data Sheet'!$B$32,'Data Sheet'!$V$31:$V$55,'Data Sheet'!$B$37,'Data Sheet'!$W$31:$W$55,'Data Sheet'!$E$39)</f>
        <v>0</v>
      </c>
      <c r="AZ29" s="219"/>
    </row>
    <row r="30" spans="1:56" ht="12.75" customHeight="1" x14ac:dyDescent="0.25">
      <c r="A30" t="s">
        <v>45</v>
      </c>
      <c r="B30" s="35" t="str">
        <f>HLOOKUP($O$5,'Data Sheet'!$B$2:$CM$27,16,FALSE)</f>
        <v>P2-RS15</v>
      </c>
      <c r="C30" s="239"/>
      <c r="D30" s="417"/>
      <c r="E30" s="321" t="str">
        <f t="shared" si="10"/>
        <v>Tube 1.5</v>
      </c>
      <c r="F30" s="411"/>
      <c r="G30" s="421" t="s">
        <v>4</v>
      </c>
      <c r="H30" s="58"/>
      <c r="I30" s="104"/>
      <c r="J30" s="517"/>
      <c r="K30" s="285"/>
      <c r="L30" s="239"/>
      <c r="M30" s="104"/>
      <c r="N30" s="240"/>
      <c r="O30" s="241" t="str">
        <f t="shared" si="0"/>
        <v xml:space="preserve"> </v>
      </c>
      <c r="P30" s="275"/>
      <c r="Q30" s="243"/>
      <c r="R30" s="221">
        <f t="shared" si="1"/>
        <v>0</v>
      </c>
      <c r="S30" s="220">
        <f t="shared" si="11"/>
        <v>0</v>
      </c>
      <c r="T30" s="80">
        <f t="shared" si="2"/>
        <v>0</v>
      </c>
      <c r="U30" s="81">
        <f t="shared" si="3"/>
        <v>0</v>
      </c>
      <c r="V30" s="81">
        <f t="shared" si="4"/>
        <v>0</v>
      </c>
      <c r="W30" s="81">
        <f t="shared" si="5"/>
        <v>0</v>
      </c>
      <c r="X30" s="81" t="str">
        <f t="shared" si="6"/>
        <v xml:space="preserve"> </v>
      </c>
      <c r="Y30" s="244">
        <f t="shared" si="12"/>
        <v>0</v>
      </c>
      <c r="Z30" s="81">
        <f t="shared" si="7"/>
        <v>0</v>
      </c>
      <c r="AA30" s="110">
        <f t="shared" si="13"/>
        <v>0</v>
      </c>
      <c r="AD30" s="55">
        <v>0</v>
      </c>
      <c r="AE30" s="55" t="str">
        <f t="shared" si="14"/>
        <v xml:space="preserve"> </v>
      </c>
      <c r="AF30" s="55" t="str">
        <f t="shared" si="15"/>
        <v xml:space="preserve"> </v>
      </c>
      <c r="AG30" s="55">
        <v>1.375</v>
      </c>
      <c r="AH30" s="58">
        <f t="shared" si="16"/>
        <v>-1.375</v>
      </c>
      <c r="AK30" s="246"/>
      <c r="AL30" s="536"/>
      <c r="AM30" s="537"/>
      <c r="AN30" s="211"/>
      <c r="AO30" s="264"/>
      <c r="AP30" s="116" t="s">
        <v>2514</v>
      </c>
      <c r="AQ30" s="293"/>
      <c r="AR30" s="271">
        <f t="shared" si="8"/>
        <v>0</v>
      </c>
      <c r="AS30" s="287" t="s">
        <v>220</v>
      </c>
      <c r="AT30" s="259" t="s">
        <v>2561</v>
      </c>
      <c r="AU30" s="252"/>
      <c r="AV30" s="278">
        <f t="shared" si="9"/>
        <v>0</v>
      </c>
      <c r="AW30" s="278"/>
      <c r="AZ30" s="219"/>
    </row>
    <row r="31" spans="1:56" ht="12.75" customHeight="1" x14ac:dyDescent="0.25">
      <c r="A31" t="s">
        <v>46</v>
      </c>
      <c r="B31" s="35" t="str">
        <f>HLOOKUP($O$5,'Data Sheet'!$B$2:$CM$27,17,FALSE)</f>
        <v>P2-RS16</v>
      </c>
      <c r="C31" s="239"/>
      <c r="D31" s="417"/>
      <c r="E31" s="321" t="str">
        <f t="shared" si="10"/>
        <v>Tube 1.5</v>
      </c>
      <c r="F31" s="411"/>
      <c r="G31" s="421" t="s">
        <v>4</v>
      </c>
      <c r="H31" s="58"/>
      <c r="I31" s="104"/>
      <c r="J31" s="517"/>
      <c r="K31" s="285"/>
      <c r="L31" s="239"/>
      <c r="M31" s="104"/>
      <c r="N31" s="240"/>
      <c r="O31" s="241" t="str">
        <f t="shared" si="0"/>
        <v xml:space="preserve"> </v>
      </c>
      <c r="P31" s="275"/>
      <c r="Q31" s="243"/>
      <c r="R31" s="221">
        <f t="shared" si="1"/>
        <v>0</v>
      </c>
      <c r="S31" s="220">
        <f t="shared" si="11"/>
        <v>0</v>
      </c>
      <c r="T31" s="80">
        <f t="shared" si="2"/>
        <v>0</v>
      </c>
      <c r="U31" s="81">
        <f t="shared" si="3"/>
        <v>0</v>
      </c>
      <c r="V31" s="81">
        <f t="shared" si="4"/>
        <v>0</v>
      </c>
      <c r="W31" s="81">
        <f t="shared" si="5"/>
        <v>0</v>
      </c>
      <c r="X31" s="81" t="str">
        <f t="shared" si="6"/>
        <v xml:space="preserve"> </v>
      </c>
      <c r="Y31" s="244">
        <f t="shared" si="12"/>
        <v>0</v>
      </c>
      <c r="Z31" s="81">
        <f t="shared" si="7"/>
        <v>0</v>
      </c>
      <c r="AA31" s="110">
        <f t="shared" si="13"/>
        <v>0</v>
      </c>
      <c r="AD31" s="55">
        <v>0</v>
      </c>
      <c r="AE31" s="55" t="str">
        <f t="shared" si="14"/>
        <v xml:space="preserve"> </v>
      </c>
      <c r="AF31" s="55" t="str">
        <f t="shared" si="15"/>
        <v xml:space="preserve"> </v>
      </c>
      <c r="AG31" s="55">
        <v>1.375</v>
      </c>
      <c r="AH31" s="58">
        <f t="shared" si="16"/>
        <v>-1.375</v>
      </c>
      <c r="AK31" s="246"/>
      <c r="AL31" s="538"/>
      <c r="AM31" s="539"/>
      <c r="AO31" s="218"/>
      <c r="AP31" s="266">
        <f>SUMIF('Data Sheet'!$L$31:$L$55,AP30,'Data Sheet'!$M$31:$M$55)/192</f>
        <v>0</v>
      </c>
      <c r="AQ31" s="294"/>
      <c r="AR31" s="271">
        <f t="shared" si="8"/>
        <v>0</v>
      </c>
      <c r="AS31" s="251"/>
      <c r="AT31" s="288">
        <f>SUMIFS('Data Sheet'!$R$31:$R$55,'Data Sheet'!$P$31:$P$55,'Data Sheet'!$B$37,'Data Sheet'!$Q$31:$Q$55,'Data Sheet'!$B$50)/12</f>
        <v>0</v>
      </c>
      <c r="AU31" s="252"/>
      <c r="AV31" s="278">
        <f t="shared" si="9"/>
        <v>0</v>
      </c>
      <c r="AW31" s="278"/>
      <c r="AX31" s="276" t="s">
        <v>2574</v>
      </c>
      <c r="AY31" s="56">
        <f>SUMIFS('Data Sheet'!$T$31:$T$55,'Data Sheet'!$U$31:$U$55,'Data Sheet'!$B$31,'Data Sheet'!$V$31:$V$55,'Data Sheet'!$B$38,'Data Sheet'!$X$31:$X$55,'Data Sheet'!$B$50)</f>
        <v>0</v>
      </c>
      <c r="AZ31" s="219"/>
    </row>
    <row r="32" spans="1:56" ht="12.75" customHeight="1" x14ac:dyDescent="0.25">
      <c r="A32" t="s">
        <v>47</v>
      </c>
      <c r="B32" s="35" t="str">
        <f>HLOOKUP($O$5,'Data Sheet'!$B$2:$CM$27,18,FALSE)</f>
        <v>P2-RS17</v>
      </c>
      <c r="C32" s="239"/>
      <c r="D32" s="417"/>
      <c r="E32" s="321" t="str">
        <f t="shared" si="10"/>
        <v>Tube 1.5</v>
      </c>
      <c r="F32" s="411"/>
      <c r="G32" s="421" t="s">
        <v>4</v>
      </c>
      <c r="H32" s="58"/>
      <c r="I32" s="104"/>
      <c r="J32" s="517"/>
      <c r="K32" s="285"/>
      <c r="L32" s="239"/>
      <c r="M32" s="104"/>
      <c r="N32" s="240"/>
      <c r="O32" s="241" t="str">
        <f t="shared" si="0"/>
        <v xml:space="preserve"> </v>
      </c>
      <c r="P32" s="275"/>
      <c r="Q32" s="242"/>
      <c r="R32" s="221">
        <f t="shared" si="1"/>
        <v>0</v>
      </c>
      <c r="S32" s="220">
        <f t="shared" si="11"/>
        <v>0</v>
      </c>
      <c r="T32" s="80">
        <f t="shared" si="2"/>
        <v>0</v>
      </c>
      <c r="U32" s="81">
        <f t="shared" si="3"/>
        <v>0</v>
      </c>
      <c r="V32" s="81">
        <f t="shared" si="4"/>
        <v>0</v>
      </c>
      <c r="W32" s="81">
        <f t="shared" si="5"/>
        <v>0</v>
      </c>
      <c r="X32" s="81" t="str">
        <f t="shared" si="6"/>
        <v xml:space="preserve"> </v>
      </c>
      <c r="Y32" s="244">
        <f t="shared" si="12"/>
        <v>0</v>
      </c>
      <c r="Z32" s="81">
        <f t="shared" si="7"/>
        <v>0</v>
      </c>
      <c r="AA32" s="110">
        <f t="shared" si="13"/>
        <v>0</v>
      </c>
      <c r="AD32" s="55">
        <v>0</v>
      </c>
      <c r="AE32" s="55" t="str">
        <f t="shared" si="14"/>
        <v xml:space="preserve"> </v>
      </c>
      <c r="AF32" s="55" t="str">
        <f t="shared" si="15"/>
        <v xml:space="preserve"> </v>
      </c>
      <c r="AG32" s="55">
        <v>1.375</v>
      </c>
      <c r="AH32" s="58">
        <f t="shared" si="16"/>
        <v>-1.375</v>
      </c>
      <c r="AK32" s="246"/>
      <c r="AL32" s="117"/>
      <c r="AM32" s="211"/>
      <c r="AN32" s="211"/>
      <c r="AO32" s="264"/>
      <c r="AP32" s="116" t="s">
        <v>2515</v>
      </c>
      <c r="AQ32" s="293"/>
      <c r="AR32" s="271">
        <f t="shared" si="8"/>
        <v>0</v>
      </c>
      <c r="AS32" s="287" t="s">
        <v>220</v>
      </c>
      <c r="AT32" s="259" t="s">
        <v>2562</v>
      </c>
      <c r="AU32" s="252"/>
      <c r="AV32" s="278">
        <f t="shared" si="9"/>
        <v>0</v>
      </c>
      <c r="AW32" s="278"/>
      <c r="AZ32" s="219"/>
    </row>
    <row r="33" spans="1:54" ht="12.75" customHeight="1" x14ac:dyDescent="0.25">
      <c r="A33" t="s">
        <v>48</v>
      </c>
      <c r="B33" s="35" t="str">
        <f>HLOOKUP($O$5,'Data Sheet'!$B$2:$CM$27,19,FALSE)</f>
        <v>P2-RS18</v>
      </c>
      <c r="C33" s="239"/>
      <c r="D33" s="417"/>
      <c r="E33" s="321" t="str">
        <f t="shared" si="10"/>
        <v>Tube 1.5</v>
      </c>
      <c r="F33" s="411"/>
      <c r="G33" s="421" t="s">
        <v>4</v>
      </c>
      <c r="H33" s="58"/>
      <c r="I33" s="104"/>
      <c r="J33" s="517"/>
      <c r="K33" s="285"/>
      <c r="L33" s="239"/>
      <c r="M33" s="104"/>
      <c r="N33" s="240"/>
      <c r="O33" s="241" t="str">
        <f t="shared" si="0"/>
        <v xml:space="preserve"> </v>
      </c>
      <c r="P33" s="275"/>
      <c r="Q33" s="242"/>
      <c r="R33" s="221">
        <f t="shared" si="1"/>
        <v>0</v>
      </c>
      <c r="S33" s="220">
        <f t="shared" si="11"/>
        <v>0</v>
      </c>
      <c r="T33" s="80">
        <f t="shared" si="2"/>
        <v>0</v>
      </c>
      <c r="U33" s="81">
        <f t="shared" si="3"/>
        <v>0</v>
      </c>
      <c r="V33" s="81">
        <f t="shared" si="4"/>
        <v>0</v>
      </c>
      <c r="W33" s="81">
        <f t="shared" si="5"/>
        <v>0</v>
      </c>
      <c r="X33" s="81" t="str">
        <f t="shared" si="6"/>
        <v xml:space="preserve"> </v>
      </c>
      <c r="Y33" s="244">
        <f t="shared" si="12"/>
        <v>0</v>
      </c>
      <c r="Z33" s="81">
        <f t="shared" si="7"/>
        <v>0</v>
      </c>
      <c r="AA33" s="110">
        <f t="shared" si="13"/>
        <v>0</v>
      </c>
      <c r="AD33" s="55">
        <v>0</v>
      </c>
      <c r="AE33" s="55" t="str">
        <f t="shared" si="14"/>
        <v xml:space="preserve"> </v>
      </c>
      <c r="AF33" s="55" t="str">
        <f t="shared" si="15"/>
        <v xml:space="preserve"> </v>
      </c>
      <c r="AG33" s="55">
        <v>1.375</v>
      </c>
      <c r="AH33" s="58">
        <f t="shared" si="16"/>
        <v>-1.375</v>
      </c>
      <c r="AK33" s="246"/>
      <c r="AO33" s="218"/>
      <c r="AP33" s="266">
        <f>SUMIF('Data Sheet'!$L$31:$L$55,AP32,'Data Sheet'!$M$31:$M$55)/192</f>
        <v>0.45833333333333331</v>
      </c>
      <c r="AQ33" s="294"/>
      <c r="AR33" s="271">
        <f t="shared" si="8"/>
        <v>0</v>
      </c>
      <c r="AS33" s="251"/>
      <c r="AT33" s="288">
        <f>SUMIFS('Data Sheet'!$R$31:$R$55,'Data Sheet'!$P$31:$P$55,'Data Sheet'!$B$37,'Data Sheet'!$Q$31:$Q$55,'Data Sheet'!$B$51)/12</f>
        <v>0</v>
      </c>
      <c r="AU33" s="252"/>
      <c r="AV33" s="278">
        <f t="shared" si="9"/>
        <v>0</v>
      </c>
      <c r="AW33" s="278"/>
      <c r="AX33" s="276" t="s">
        <v>2575</v>
      </c>
      <c r="AY33" s="56">
        <f>SUMIFS('Data Sheet'!$T$31:$T$55,'Data Sheet'!$U$31:$U$55,'Data Sheet'!$B$31,'Data Sheet'!$V$31:$V$55,'Data Sheet'!$B$38,'Data Sheet'!$X$31:$X$55,'Data Sheet'!$B$49)</f>
        <v>5</v>
      </c>
      <c r="AZ33" s="219"/>
    </row>
    <row r="34" spans="1:54" ht="12.75" customHeight="1" thickBot="1" x14ac:dyDescent="0.3">
      <c r="A34" t="s">
        <v>49</v>
      </c>
      <c r="B34" s="35" t="str">
        <f>HLOOKUP($O$5,'Data Sheet'!$B$2:$CM$27,20,FALSE)</f>
        <v>P2-RS19</v>
      </c>
      <c r="C34" s="239"/>
      <c r="D34" s="417"/>
      <c r="E34" s="321" t="str">
        <f t="shared" si="10"/>
        <v>Tube 1.5</v>
      </c>
      <c r="F34" s="411"/>
      <c r="G34" s="421" t="s">
        <v>4</v>
      </c>
      <c r="H34" s="58"/>
      <c r="I34" s="104"/>
      <c r="J34" s="517"/>
      <c r="K34" s="285"/>
      <c r="L34" s="239"/>
      <c r="M34" s="104"/>
      <c r="N34" s="240"/>
      <c r="O34" s="241" t="str">
        <f t="shared" si="0"/>
        <v xml:space="preserve"> </v>
      </c>
      <c r="P34" s="275"/>
      <c r="Q34" s="242"/>
      <c r="R34" s="221">
        <f t="shared" si="1"/>
        <v>0</v>
      </c>
      <c r="S34" s="220">
        <f t="shared" si="11"/>
        <v>0</v>
      </c>
      <c r="T34" s="80">
        <f t="shared" si="2"/>
        <v>0</v>
      </c>
      <c r="U34" s="81">
        <f t="shared" si="3"/>
        <v>0</v>
      </c>
      <c r="V34" s="81">
        <f t="shared" si="4"/>
        <v>0</v>
      </c>
      <c r="W34" s="81">
        <f t="shared" si="5"/>
        <v>0</v>
      </c>
      <c r="X34" s="81" t="str">
        <f t="shared" si="6"/>
        <v xml:space="preserve"> </v>
      </c>
      <c r="Y34" s="244">
        <f t="shared" si="12"/>
        <v>0</v>
      </c>
      <c r="Z34" s="81">
        <f t="shared" si="7"/>
        <v>0</v>
      </c>
      <c r="AA34" s="110">
        <f t="shared" si="13"/>
        <v>0</v>
      </c>
      <c r="AD34" s="55">
        <v>0</v>
      </c>
      <c r="AE34" s="55" t="str">
        <f t="shared" si="14"/>
        <v xml:space="preserve"> </v>
      </c>
      <c r="AF34" s="55" t="str">
        <f t="shared" si="15"/>
        <v xml:space="preserve"> </v>
      </c>
      <c r="AG34" s="55">
        <v>1.375</v>
      </c>
      <c r="AH34" s="58">
        <f t="shared" si="16"/>
        <v>-1.375</v>
      </c>
      <c r="AK34" s="247"/>
      <c r="AL34" s="69"/>
      <c r="AM34" s="248"/>
      <c r="AN34" s="248"/>
      <c r="AO34" s="218"/>
      <c r="AP34" s="116" t="s">
        <v>2512</v>
      </c>
      <c r="AQ34" s="293"/>
      <c r="AR34" s="271">
        <f t="shared" si="8"/>
        <v>0</v>
      </c>
      <c r="AS34" s="287" t="s">
        <v>220</v>
      </c>
      <c r="AT34" s="259" t="s">
        <v>2563</v>
      </c>
      <c r="AU34" s="252"/>
      <c r="AV34" s="278">
        <f t="shared" si="9"/>
        <v>0</v>
      </c>
      <c r="AW34" s="278"/>
      <c r="AZ34" s="219"/>
    </row>
    <row r="35" spans="1:54" ht="12.75" customHeight="1" x14ac:dyDescent="0.25">
      <c r="A35" t="s">
        <v>50</v>
      </c>
      <c r="B35" s="35" t="str">
        <f>HLOOKUP($O$5,'Data Sheet'!$B$2:$CM$27,21,FALSE)</f>
        <v>P2-RS20</v>
      </c>
      <c r="C35" s="239"/>
      <c r="D35" s="417"/>
      <c r="E35" s="321" t="str">
        <f t="shared" si="10"/>
        <v>Tube 1.5</v>
      </c>
      <c r="F35" s="411"/>
      <c r="G35" s="421" t="s">
        <v>4</v>
      </c>
      <c r="H35" s="58"/>
      <c r="I35" s="104"/>
      <c r="J35" s="517"/>
      <c r="K35" s="285"/>
      <c r="L35" s="239"/>
      <c r="M35" s="104"/>
      <c r="N35" s="240"/>
      <c r="O35" s="241" t="str">
        <f t="shared" si="0"/>
        <v xml:space="preserve"> </v>
      </c>
      <c r="P35" s="275"/>
      <c r="Q35" s="242"/>
      <c r="R35" s="221">
        <f t="shared" si="1"/>
        <v>0</v>
      </c>
      <c r="S35" s="220">
        <f t="shared" si="11"/>
        <v>0</v>
      </c>
      <c r="T35" s="80">
        <f t="shared" si="2"/>
        <v>0</v>
      </c>
      <c r="U35" s="81">
        <f t="shared" si="3"/>
        <v>0</v>
      </c>
      <c r="V35" s="81">
        <f t="shared" si="4"/>
        <v>0</v>
      </c>
      <c r="W35" s="81">
        <f t="shared" si="5"/>
        <v>0</v>
      </c>
      <c r="X35" s="81" t="str">
        <f t="shared" si="6"/>
        <v xml:space="preserve"> </v>
      </c>
      <c r="Y35" s="244">
        <f t="shared" si="12"/>
        <v>0</v>
      </c>
      <c r="Z35" s="81">
        <f t="shared" si="7"/>
        <v>0</v>
      </c>
      <c r="AA35" s="110">
        <f t="shared" si="13"/>
        <v>0</v>
      </c>
      <c r="AD35" s="55">
        <v>0</v>
      </c>
      <c r="AE35" s="55" t="str">
        <f t="shared" si="14"/>
        <v xml:space="preserve"> </v>
      </c>
      <c r="AF35" s="55" t="str">
        <f t="shared" si="15"/>
        <v xml:space="preserve"> </v>
      </c>
      <c r="AG35" s="55">
        <v>1.375</v>
      </c>
      <c r="AH35" s="58">
        <f t="shared" si="16"/>
        <v>-1.375</v>
      </c>
      <c r="AO35" s="218"/>
      <c r="AP35" s="266">
        <f>SUMIF('Data Sheet'!$L$31:$L$55,AP34,'Data Sheet'!$M$31:$M$55)/192</f>
        <v>0</v>
      </c>
      <c r="AQ35" s="294"/>
      <c r="AR35" s="271">
        <f t="shared" si="8"/>
        <v>0</v>
      </c>
      <c r="AS35" s="251"/>
      <c r="AT35" s="288">
        <f>SUMIFS('Data Sheet'!$R$31:$R$55,'Data Sheet'!$P$31:$P$55,'Data Sheet'!$B$37,'Data Sheet'!$Q$31:$Q$55,'Data Sheet'!$B$52)/12</f>
        <v>0</v>
      </c>
      <c r="AU35" s="252"/>
      <c r="AV35" s="278">
        <f t="shared" si="9"/>
        <v>0</v>
      </c>
      <c r="AW35" s="278"/>
      <c r="AX35" s="276" t="s">
        <v>2576</v>
      </c>
      <c r="AY35" s="56">
        <f>SUMIFS('Data Sheet'!$T$31:$T$55,'Data Sheet'!$U$31:$U$55,'Data Sheet'!$B$31,'Data Sheet'!$V$31:$V$55,'Data Sheet'!$B$38,'Data Sheet'!$X$31:$X$55,'Data Sheet'!$B$51)</f>
        <v>0</v>
      </c>
      <c r="AZ35" s="219"/>
    </row>
    <row r="36" spans="1:54" ht="12.75" customHeight="1" x14ac:dyDescent="0.25">
      <c r="A36" t="s">
        <v>182</v>
      </c>
      <c r="B36" s="35" t="str">
        <f>HLOOKUP($O$5,'Data Sheet'!$B$2:$CM$27,22,FALSE)</f>
        <v>P2-RS21</v>
      </c>
      <c r="C36" s="239"/>
      <c r="D36" s="417"/>
      <c r="E36" s="321" t="str">
        <f t="shared" si="10"/>
        <v>Tube 1.5</v>
      </c>
      <c r="F36" s="411"/>
      <c r="G36" s="421" t="s">
        <v>4</v>
      </c>
      <c r="H36" s="58"/>
      <c r="I36" s="104"/>
      <c r="J36" s="517"/>
      <c r="K36" s="285"/>
      <c r="L36" s="239"/>
      <c r="M36" s="104"/>
      <c r="N36" s="240"/>
      <c r="O36" s="241" t="str">
        <f t="shared" si="0"/>
        <v xml:space="preserve"> </v>
      </c>
      <c r="P36" s="275"/>
      <c r="Q36" s="242"/>
      <c r="R36" s="221">
        <f t="shared" si="1"/>
        <v>0</v>
      </c>
      <c r="S36" s="220">
        <f t="shared" si="11"/>
        <v>0</v>
      </c>
      <c r="T36" s="80">
        <f t="shared" si="2"/>
        <v>0</v>
      </c>
      <c r="U36" s="81">
        <f t="shared" si="3"/>
        <v>0</v>
      </c>
      <c r="V36" s="81">
        <f t="shared" si="4"/>
        <v>0</v>
      </c>
      <c r="W36" s="81">
        <f t="shared" si="5"/>
        <v>0</v>
      </c>
      <c r="X36" s="81" t="str">
        <f t="shared" si="6"/>
        <v xml:space="preserve"> </v>
      </c>
      <c r="Y36" s="244">
        <f t="shared" si="12"/>
        <v>0</v>
      </c>
      <c r="Z36" s="81">
        <f t="shared" si="7"/>
        <v>0</v>
      </c>
      <c r="AA36" s="110">
        <f t="shared" si="13"/>
        <v>0</v>
      </c>
      <c r="AD36" s="55">
        <v>0</v>
      </c>
      <c r="AE36" s="55" t="str">
        <f t="shared" si="14"/>
        <v xml:space="preserve"> </v>
      </c>
      <c r="AF36" s="55" t="str">
        <f t="shared" si="15"/>
        <v xml:space="preserve"> </v>
      </c>
      <c r="AG36" s="55">
        <v>1.375</v>
      </c>
      <c r="AH36" s="58">
        <f t="shared" si="16"/>
        <v>-1.375</v>
      </c>
      <c r="AO36" s="218"/>
      <c r="AQ36" s="219"/>
      <c r="AR36" s="271">
        <f t="shared" si="8"/>
        <v>0</v>
      </c>
      <c r="AS36" s="251"/>
      <c r="AU36" s="252"/>
      <c r="AV36" s="278">
        <f t="shared" si="9"/>
        <v>0</v>
      </c>
      <c r="AW36" s="278"/>
      <c r="AZ36" s="219"/>
    </row>
    <row r="37" spans="1:54" ht="12.75" customHeight="1" thickBot="1" x14ac:dyDescent="0.3">
      <c r="A37" t="s">
        <v>183</v>
      </c>
      <c r="B37" s="35" t="str">
        <f>HLOOKUP($O$5,'Data Sheet'!$B$2:$CM$27,23,FALSE)</f>
        <v>P2-RS22</v>
      </c>
      <c r="C37" s="239"/>
      <c r="D37" s="417"/>
      <c r="E37" s="321" t="str">
        <f t="shared" si="10"/>
        <v>Tube 1.5</v>
      </c>
      <c r="F37" s="418"/>
      <c r="G37" s="421" t="s">
        <v>4</v>
      </c>
      <c r="H37" s="58"/>
      <c r="I37" s="104"/>
      <c r="J37" s="517"/>
      <c r="K37" s="285"/>
      <c r="L37" s="239"/>
      <c r="M37" s="104"/>
      <c r="N37" s="240"/>
      <c r="O37" s="241" t="str">
        <f t="shared" si="0"/>
        <v xml:space="preserve"> </v>
      </c>
      <c r="P37" s="275"/>
      <c r="Q37" s="242"/>
      <c r="R37" s="221">
        <f t="shared" si="1"/>
        <v>0</v>
      </c>
      <c r="S37" s="220">
        <f t="shared" si="11"/>
        <v>0</v>
      </c>
      <c r="T37" s="80">
        <f t="shared" si="2"/>
        <v>0</v>
      </c>
      <c r="U37" s="81">
        <f t="shared" si="3"/>
        <v>0</v>
      </c>
      <c r="V37" s="81">
        <f t="shared" si="4"/>
        <v>0</v>
      </c>
      <c r="W37" s="81">
        <f t="shared" si="5"/>
        <v>0</v>
      </c>
      <c r="X37" s="81" t="str">
        <f t="shared" si="6"/>
        <v xml:space="preserve"> </v>
      </c>
      <c r="Y37" s="244">
        <f t="shared" si="12"/>
        <v>0</v>
      </c>
      <c r="Z37" s="81">
        <f t="shared" si="7"/>
        <v>0</v>
      </c>
      <c r="AA37" s="110">
        <f t="shared" si="13"/>
        <v>0</v>
      </c>
      <c r="AD37" s="55">
        <v>0</v>
      </c>
      <c r="AE37" s="55" t="str">
        <f t="shared" si="14"/>
        <v xml:space="preserve"> </v>
      </c>
      <c r="AF37" s="55" t="str">
        <f t="shared" si="15"/>
        <v xml:space="preserve"> </v>
      </c>
      <c r="AG37" s="55">
        <v>1.375</v>
      </c>
      <c r="AH37" s="58">
        <f t="shared" si="16"/>
        <v>-1.375</v>
      </c>
      <c r="AL37" s="549"/>
      <c r="AO37" s="265"/>
      <c r="AP37" s="248"/>
      <c r="AQ37" s="283"/>
      <c r="AR37" s="271">
        <f t="shared" si="8"/>
        <v>0</v>
      </c>
      <c r="AS37" s="253"/>
      <c r="AT37" s="274"/>
      <c r="AU37" s="254"/>
      <c r="AV37" s="278">
        <f t="shared" si="9"/>
        <v>0</v>
      </c>
      <c r="AW37" s="278"/>
      <c r="AX37" s="276" t="s">
        <v>2577</v>
      </c>
      <c r="AY37" s="56">
        <f>SUMIFS('Data Sheet'!$T$31:$T$55,'Data Sheet'!$U$31:$U$55,'Data Sheet'!$B$31,'Data Sheet'!$V$31:$V$55,'Data Sheet'!$B$38,'Data Sheet'!$X$31:$X$55,'Data Sheet'!$B$52)</f>
        <v>0</v>
      </c>
      <c r="AZ37" s="219"/>
    </row>
    <row r="38" spans="1:54" ht="12.75" customHeight="1" x14ac:dyDescent="0.25">
      <c r="A38" t="s">
        <v>184</v>
      </c>
      <c r="B38" s="35" t="str">
        <f>HLOOKUP($O$5,'Data Sheet'!$B$2:$CM$27,24,FALSE)</f>
        <v>P2-RS23</v>
      </c>
      <c r="C38" s="239"/>
      <c r="D38" s="417"/>
      <c r="E38" s="321" t="str">
        <f t="shared" si="10"/>
        <v>Tube 1.5</v>
      </c>
      <c r="F38" s="411"/>
      <c r="G38" s="421" t="s">
        <v>4</v>
      </c>
      <c r="H38" s="58"/>
      <c r="I38" s="104"/>
      <c r="J38" s="517"/>
      <c r="K38" s="285"/>
      <c r="L38" s="239"/>
      <c r="M38" s="104"/>
      <c r="N38" s="240"/>
      <c r="O38" s="241" t="str">
        <f t="shared" si="0"/>
        <v xml:space="preserve"> </v>
      </c>
      <c r="P38" s="275"/>
      <c r="Q38" s="242"/>
      <c r="R38" s="221">
        <f t="shared" si="1"/>
        <v>0</v>
      </c>
      <c r="S38" s="220">
        <f t="shared" si="11"/>
        <v>0</v>
      </c>
      <c r="T38" s="80">
        <f t="shared" si="2"/>
        <v>0</v>
      </c>
      <c r="U38" s="81">
        <f t="shared" si="3"/>
        <v>0</v>
      </c>
      <c r="V38" s="81">
        <f t="shared" si="4"/>
        <v>0</v>
      </c>
      <c r="W38" s="81">
        <f t="shared" si="5"/>
        <v>0</v>
      </c>
      <c r="X38" s="81" t="str">
        <f t="shared" si="6"/>
        <v xml:space="preserve"> </v>
      </c>
      <c r="Y38" s="244">
        <f t="shared" si="12"/>
        <v>0</v>
      </c>
      <c r="Z38" s="81">
        <f t="shared" si="7"/>
        <v>0</v>
      </c>
      <c r="AA38" s="110">
        <f t="shared" si="13"/>
        <v>0</v>
      </c>
      <c r="AD38" s="55">
        <v>0</v>
      </c>
      <c r="AE38" s="55" t="str">
        <f t="shared" si="14"/>
        <v xml:space="preserve"> </v>
      </c>
      <c r="AF38" s="55" t="str">
        <f t="shared" si="15"/>
        <v xml:space="preserve"> </v>
      </c>
      <c r="AG38" s="55">
        <v>1.375</v>
      </c>
      <c r="AH38" s="58">
        <f t="shared" si="16"/>
        <v>-1.375</v>
      </c>
      <c r="AL38" s="549"/>
      <c r="AM38" s="259"/>
      <c r="AN38" s="259"/>
      <c r="AO38" s="342"/>
      <c r="AP38" s="260"/>
      <c r="AQ38" s="291"/>
      <c r="AR38" s="340">
        <f t="shared" si="8"/>
        <v>0</v>
      </c>
      <c r="AS38" s="252"/>
      <c r="AU38" s="252"/>
      <c r="AV38" s="278">
        <f t="shared" si="9"/>
        <v>0</v>
      </c>
      <c r="AW38" s="278"/>
      <c r="AZ38" s="219"/>
    </row>
    <row r="39" spans="1:54" ht="12.75" customHeight="1" x14ac:dyDescent="0.3">
      <c r="A39" t="s">
        <v>185</v>
      </c>
      <c r="B39" s="35" t="str">
        <f>HLOOKUP($O$5,'Data Sheet'!$B$2:$CM$27,25,FALSE)</f>
        <v>P2-RS24</v>
      </c>
      <c r="C39" s="239"/>
      <c r="D39" s="417"/>
      <c r="E39" s="321" t="str">
        <f t="shared" si="10"/>
        <v>Tube 1.5</v>
      </c>
      <c r="F39" s="411"/>
      <c r="G39" s="421" t="s">
        <v>4</v>
      </c>
      <c r="H39" s="58"/>
      <c r="I39" s="104"/>
      <c r="J39" s="517"/>
      <c r="K39" s="285"/>
      <c r="L39" s="239"/>
      <c r="M39" s="104"/>
      <c r="N39" s="240"/>
      <c r="O39" s="241" t="str">
        <f t="shared" si="0"/>
        <v xml:space="preserve"> </v>
      </c>
      <c r="P39" s="275"/>
      <c r="Q39" s="242"/>
      <c r="R39" s="221">
        <f t="shared" si="1"/>
        <v>0</v>
      </c>
      <c r="S39" s="220">
        <f t="shared" si="11"/>
        <v>0</v>
      </c>
      <c r="T39" s="80">
        <f t="shared" si="2"/>
        <v>0</v>
      </c>
      <c r="U39" s="81">
        <f t="shared" si="3"/>
        <v>0</v>
      </c>
      <c r="V39" s="81">
        <f t="shared" si="4"/>
        <v>0</v>
      </c>
      <c r="W39" s="81">
        <f t="shared" si="5"/>
        <v>0</v>
      </c>
      <c r="X39" s="81" t="str">
        <f t="shared" si="6"/>
        <v xml:space="preserve"> </v>
      </c>
      <c r="Y39" s="244">
        <f t="shared" si="12"/>
        <v>0</v>
      </c>
      <c r="Z39" s="81">
        <f t="shared" si="7"/>
        <v>0</v>
      </c>
      <c r="AA39" s="110">
        <f t="shared" si="13"/>
        <v>0</v>
      </c>
      <c r="AD39" s="55">
        <v>0</v>
      </c>
      <c r="AE39" s="55" t="str">
        <f t="shared" si="14"/>
        <v xml:space="preserve"> </v>
      </c>
      <c r="AF39" s="55" t="str">
        <f t="shared" si="15"/>
        <v xml:space="preserve"> </v>
      </c>
      <c r="AG39" s="55">
        <v>1.375</v>
      </c>
      <c r="AH39" s="58">
        <f t="shared" si="16"/>
        <v>-1.375</v>
      </c>
      <c r="AO39" s="218"/>
      <c r="AP39" s="347" t="s">
        <v>2615</v>
      </c>
      <c r="AQ39" s="219"/>
      <c r="AR39" s="340">
        <f t="shared" si="8"/>
        <v>0</v>
      </c>
      <c r="AS39" s="252"/>
      <c r="AU39" s="252"/>
      <c r="AV39" s="278">
        <f t="shared" si="9"/>
        <v>0</v>
      </c>
      <c r="AW39" s="278"/>
      <c r="AX39" s="276" t="s">
        <v>2578</v>
      </c>
      <c r="AY39" s="56">
        <f>SUMIFS('Data Sheet'!T31:T55,'Data Sheet'!U31:U55,'Data Sheet'!B32,'Data Sheet'!V31:V55,'Data Sheet'!B38,'Data Sheet'!X31:X55,'Data Sheet'!B50)</f>
        <v>0</v>
      </c>
      <c r="AZ39" s="219"/>
    </row>
    <row r="40" spans="1:54" ht="12.75" customHeight="1" thickBot="1" x14ac:dyDescent="0.3">
      <c r="A40" t="s">
        <v>186</v>
      </c>
      <c r="B40" s="35" t="str">
        <f>HLOOKUP($O$5,'Data Sheet'!$B$2:$CM$27,26,FALSE)</f>
        <v>P2-RS25</v>
      </c>
      <c r="C40" s="239"/>
      <c r="D40" s="417"/>
      <c r="E40" s="321" t="str">
        <f t="shared" si="10"/>
        <v>Tube 1.5</v>
      </c>
      <c r="F40" s="411"/>
      <c r="G40" s="421" t="s">
        <v>4</v>
      </c>
      <c r="H40" s="58"/>
      <c r="I40" s="104"/>
      <c r="J40" s="517"/>
      <c r="K40" s="286"/>
      <c r="L40" s="239"/>
      <c r="M40" s="104"/>
      <c r="N40" s="240"/>
      <c r="O40" s="241" t="str">
        <f t="shared" si="0"/>
        <v xml:space="preserve"> </v>
      </c>
      <c r="P40" s="243"/>
      <c r="Q40" s="243"/>
      <c r="R40" s="350">
        <f t="shared" si="1"/>
        <v>0</v>
      </c>
      <c r="S40" s="81">
        <f t="shared" si="11"/>
        <v>0</v>
      </c>
      <c r="T40" s="80">
        <f t="shared" si="2"/>
        <v>0</v>
      </c>
      <c r="U40" s="81">
        <f t="shared" si="3"/>
        <v>0</v>
      </c>
      <c r="V40" s="81">
        <f t="shared" si="4"/>
        <v>0</v>
      </c>
      <c r="W40" s="81">
        <f t="shared" si="5"/>
        <v>0</v>
      </c>
      <c r="X40" s="81" t="str">
        <f t="shared" si="6"/>
        <v xml:space="preserve"> </v>
      </c>
      <c r="Y40" s="244">
        <f t="shared" si="12"/>
        <v>0</v>
      </c>
      <c r="Z40" s="81">
        <f t="shared" si="7"/>
        <v>0</v>
      </c>
      <c r="AA40" s="110">
        <f t="shared" si="13"/>
        <v>0</v>
      </c>
      <c r="AD40" s="55">
        <v>0</v>
      </c>
      <c r="AE40" s="55" t="str">
        <f t="shared" si="14"/>
        <v xml:space="preserve"> </v>
      </c>
      <c r="AF40" s="55" t="str">
        <f t="shared" si="15"/>
        <v xml:space="preserve"> </v>
      </c>
      <c r="AG40" s="55">
        <v>1.375</v>
      </c>
      <c r="AH40" s="58">
        <f t="shared" si="16"/>
        <v>-1.375</v>
      </c>
      <c r="AL40" s="551" t="s">
        <v>2643</v>
      </c>
      <c r="AM40" s="551"/>
      <c r="AN40" s="211"/>
      <c r="AO40" s="264"/>
      <c r="AQ40" s="219"/>
      <c r="AR40" s="340">
        <f t="shared" si="8"/>
        <v>0</v>
      </c>
      <c r="AS40" s="252"/>
      <c r="AU40" s="252"/>
      <c r="AV40" s="278">
        <f t="shared" si="9"/>
        <v>0</v>
      </c>
      <c r="AW40" s="278"/>
      <c r="AZ40" s="219"/>
    </row>
    <row r="41" spans="1:54" s="9" customFormat="1" ht="15.75" customHeight="1" thickBot="1" x14ac:dyDescent="0.3">
      <c r="B41" s="59"/>
      <c r="C41" s="557">
        <f>SUM(D16:D40)</f>
        <v>0</v>
      </c>
      <c r="D41" s="557"/>
      <c r="E41" s="9" t="s">
        <v>8</v>
      </c>
      <c r="F41" s="61"/>
      <c r="H41" s="62"/>
      <c r="S41" s="63" t="s">
        <v>6</v>
      </c>
      <c r="U41" s="63">
        <f t="shared" ref="U41:Z41" si="17">SUM(U16:U40)</f>
        <v>0</v>
      </c>
      <c r="V41" s="63">
        <f t="shared" si="17"/>
        <v>0</v>
      </c>
      <c r="W41" s="63">
        <f t="shared" si="17"/>
        <v>0</v>
      </c>
      <c r="X41" s="63">
        <f t="shared" si="17"/>
        <v>0</v>
      </c>
      <c r="Y41" s="63">
        <f t="shared" si="17"/>
        <v>0</v>
      </c>
      <c r="Z41" s="63">
        <f t="shared" si="17"/>
        <v>0</v>
      </c>
      <c r="AA41" s="83">
        <f>SUM(U41:Z41)+V44</f>
        <v>0</v>
      </c>
      <c r="AL41" s="512" t="s">
        <v>2646</v>
      </c>
      <c r="AM41" s="512">
        <v>50</v>
      </c>
      <c r="AN41" s="297"/>
      <c r="AO41" s="343"/>
      <c r="AP41" s="289" t="e">
        <f>'Data Sheet'!N81/216</f>
        <v>#REF!</v>
      </c>
      <c r="AQ41" s="281"/>
      <c r="AR41" s="348">
        <f>SUM(AR16:AR40)/12</f>
        <v>0</v>
      </c>
      <c r="AS41" s="259"/>
      <c r="AT41" s="259"/>
      <c r="AU41" s="259"/>
      <c r="AV41" s="348">
        <f>SUM(AV16:AV40)/12</f>
        <v>0</v>
      </c>
      <c r="AW41" s="258"/>
      <c r="AX41" s="276" t="s">
        <v>2579</v>
      </c>
      <c r="AY41" s="290">
        <f>SUMIFS('Data Sheet'!$T$31:$T$55,'Data Sheet'!$U$31:$U$55,'Data Sheet'!$B$32,'Data Sheet'!$V$31:$V$55,'Data Sheet'!$B$38,'Data Sheet'!$X$31:$X$55,'Data Sheet'!$B$49)</f>
        <v>0</v>
      </c>
      <c r="AZ41" s="281"/>
      <c r="BA41" s="8"/>
      <c r="BB41"/>
    </row>
    <row r="42" spans="1:54" ht="16.2" thickBot="1" x14ac:dyDescent="0.35">
      <c r="B42" s="49" t="s">
        <v>85</v>
      </c>
      <c r="C42" s="9"/>
      <c r="D42" s="60"/>
      <c r="E42" s="50"/>
      <c r="F42" s="61"/>
      <c r="G42" s="9"/>
      <c r="H42" s="50"/>
      <c r="I42" s="9"/>
      <c r="K42" s="314"/>
      <c r="L42" s="315" t="s">
        <v>204</v>
      </c>
      <c r="M42" s="316" t="str">
        <f>IF(Worksheet!$M$42&gt;0,Worksheet!$M$42," ")</f>
        <v>Doyle</v>
      </c>
      <c r="N42" s="9"/>
      <c r="O42" s="558" t="s">
        <v>202</v>
      </c>
      <c r="P42" s="559"/>
      <c r="Q42" s="560"/>
      <c r="R42" s="108"/>
      <c r="S42" s="108"/>
      <c r="T42" s="109"/>
      <c r="U42"/>
      <c r="V42" s="110"/>
      <c r="W42" s="110"/>
      <c r="X42" s="110"/>
      <c r="Y42" s="110"/>
      <c r="Z42" s="111"/>
      <c r="AA42" s="110"/>
      <c r="AL42" s="512" t="s">
        <v>2647</v>
      </c>
      <c r="AM42" s="512">
        <v>100</v>
      </c>
      <c r="AN42" s="297"/>
      <c r="AO42" s="344"/>
      <c r="AP42" s="345"/>
      <c r="AQ42" s="341"/>
      <c r="AR42" s="341" t="s">
        <v>2540</v>
      </c>
      <c r="AS42" s="217"/>
      <c r="AT42" s="217"/>
      <c r="AU42" s="217"/>
      <c r="AV42" s="8" t="s">
        <v>2540</v>
      </c>
      <c r="AW42" s="218"/>
      <c r="AY42" s="217"/>
      <c r="AZ42" s="282"/>
    </row>
    <row r="43" spans="1:54" ht="15" customHeight="1" x14ac:dyDescent="0.3">
      <c r="E43" s="50" t="s">
        <v>84</v>
      </c>
      <c r="O43" s="561" t="s">
        <v>82</v>
      </c>
      <c r="P43" s="562"/>
      <c r="Q43" s="563"/>
      <c r="S43" s="110"/>
      <c r="T43" s="110"/>
      <c r="U43" s="110"/>
      <c r="V43" s="110"/>
      <c r="W43" s="110"/>
      <c r="X43" s="110"/>
      <c r="Y43" s="110"/>
      <c r="Z43" s="42"/>
      <c r="AA43" s="110"/>
      <c r="AL43" s="512" t="s">
        <v>2648</v>
      </c>
      <c r="AM43" s="512">
        <v>175</v>
      </c>
      <c r="AN43" s="297"/>
      <c r="AO43" s="297"/>
      <c r="AP43" s="211"/>
      <c r="AQ43" s="211"/>
      <c r="AW43" s="218"/>
      <c r="AX43" s="276" t="s">
        <v>2580</v>
      </c>
      <c r="AY43" s="56">
        <f>SUMIFS('Data Sheet'!$T$31:$T$55,'Data Sheet'!$U$31:$U$55,'Data Sheet'!$B$32,'Data Sheet'!$V$31:$V$55,'Data Sheet'!$B$38,'Data Sheet'!$X$31:$X$55,'Data Sheet'!$B$52)</f>
        <v>0</v>
      </c>
      <c r="AZ43" s="219"/>
    </row>
    <row r="44" spans="1:54" ht="15" customHeight="1" thickBot="1" x14ac:dyDescent="0.3">
      <c r="C44" s="64" t="s">
        <v>87</v>
      </c>
      <c r="D44" s="2"/>
      <c r="E44" s="2"/>
      <c r="F44" s="88"/>
      <c r="H44"/>
      <c r="O44" s="561" t="s">
        <v>216</v>
      </c>
      <c r="P44" s="562"/>
      <c r="Q44" s="563"/>
      <c r="S44" s="110"/>
      <c r="T44" s="110"/>
      <c r="U44" s="42" t="s">
        <v>2591</v>
      </c>
      <c r="V44" s="320">
        <v>0</v>
      </c>
      <c r="W44" s="318" t="s">
        <v>19</v>
      </c>
      <c r="X44" s="110"/>
      <c r="Y44" s="110"/>
      <c r="Z44" s="42"/>
      <c r="AA44" s="110"/>
      <c r="AL44" s="512" t="s">
        <v>2649</v>
      </c>
      <c r="AM44" s="512">
        <v>250</v>
      </c>
      <c r="AN44" s="297"/>
      <c r="AO44" s="297"/>
      <c r="AP44" s="217"/>
      <c r="AQ44" s="217"/>
      <c r="AW44" s="265"/>
      <c r="AX44" s="248"/>
      <c r="AY44" s="248"/>
      <c r="AZ44" s="283"/>
    </row>
    <row r="45" spans="1:54" ht="15" customHeight="1" x14ac:dyDescent="0.25">
      <c r="C45" s="89" t="s">
        <v>69</v>
      </c>
      <c r="D45" s="90"/>
      <c r="E45" s="90"/>
      <c r="F45" s="91"/>
      <c r="H45"/>
      <c r="M45" s="35"/>
      <c r="O45" s="540" t="s">
        <v>2625</v>
      </c>
      <c r="P45" s="541"/>
      <c r="Q45" s="542"/>
      <c r="S45" s="110"/>
      <c r="T45" s="110"/>
      <c r="U45" s="110"/>
      <c r="V45" s="110"/>
      <c r="W45" s="319" t="s">
        <v>2592</v>
      </c>
      <c r="X45" s="110"/>
      <c r="Y45" s="110"/>
      <c r="Z45" s="111"/>
      <c r="AA45" s="110"/>
      <c r="AL45" s="515" t="s">
        <v>2650</v>
      </c>
      <c r="AM45" s="516">
        <v>500</v>
      </c>
      <c r="AX45" s="259"/>
    </row>
    <row r="46" spans="1:54" ht="15" customHeight="1" x14ac:dyDescent="0.25">
      <c r="C46" s="209" t="s">
        <v>2537</v>
      </c>
      <c r="D46" s="206"/>
      <c r="E46" s="207"/>
      <c r="F46" s="208"/>
      <c r="O46" s="9"/>
      <c r="P46" s="9"/>
      <c r="Q46" s="9"/>
      <c r="S46" s="110"/>
      <c r="T46" s="110"/>
      <c r="U46" s="110"/>
      <c r="V46" s="110"/>
      <c r="W46" s="110"/>
      <c r="X46" s="66"/>
      <c r="Y46" s="112"/>
      <c r="Z46" s="111"/>
      <c r="AA46" s="34"/>
      <c r="AL46" s="514"/>
      <c r="AM46" s="513"/>
      <c r="AX46" s="217"/>
    </row>
    <row r="47" spans="1:54" x14ac:dyDescent="0.25">
      <c r="C47" s="92" t="s">
        <v>70</v>
      </c>
      <c r="D47" s="93"/>
      <c r="E47" s="94"/>
      <c r="F47" s="95"/>
      <c r="S47" s="110"/>
      <c r="T47" s="110"/>
      <c r="U47" s="110"/>
      <c r="V47" s="110"/>
      <c r="W47" s="110"/>
      <c r="X47" s="110"/>
      <c r="Y47" s="110"/>
      <c r="Z47" s="113"/>
      <c r="AA47" s="110"/>
      <c r="AM47" s="513"/>
    </row>
    <row r="57" spans="1:74" x14ac:dyDescent="0.25">
      <c r="C57" s="116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J57" s="5"/>
      <c r="AK57" s="5"/>
      <c r="AL57" s="5"/>
      <c r="AT57" s="5"/>
      <c r="AU57" s="5"/>
      <c r="BD57" s="8"/>
      <c r="BF57" s="5"/>
      <c r="BH57" s="8"/>
      <c r="BJ57" s="5"/>
      <c r="BL57" s="8"/>
      <c r="BN57" s="5"/>
      <c r="BP57" s="8"/>
      <c r="BR57" s="5"/>
      <c r="BT57" s="8"/>
      <c r="BV57" s="5"/>
    </row>
    <row r="58" spans="1:74" x14ac:dyDescent="0.25">
      <c r="A58" s="117"/>
    </row>
  </sheetData>
  <mergeCells count="17">
    <mergeCell ref="AX14:AZ14"/>
    <mergeCell ref="C41:D41"/>
    <mergeCell ref="O42:Q42"/>
    <mergeCell ref="P2:Q2"/>
    <mergeCell ref="AP2:AU2"/>
    <mergeCell ref="O7:P7"/>
    <mergeCell ref="AK10:AN12"/>
    <mergeCell ref="J13:M13"/>
    <mergeCell ref="AD13:AH14"/>
    <mergeCell ref="O3:P3"/>
    <mergeCell ref="O43:Q43"/>
    <mergeCell ref="O44:Q44"/>
    <mergeCell ref="O45:Q45"/>
    <mergeCell ref="BB15:BC15"/>
    <mergeCell ref="AL25:AM31"/>
    <mergeCell ref="AL37:AL38"/>
    <mergeCell ref="AL40:AM40"/>
  </mergeCells>
  <conditionalFormatting sqref="D16:D40">
    <cfRule type="cellIs" dxfId="14" priority="2" stopIfTrue="1" operator="greaterThan">
      <formula>1</formula>
    </cfRule>
  </conditionalFormatting>
  <conditionalFormatting sqref="E16:E40">
    <cfRule type="expression" dxfId="13" priority="1" stopIfTrue="1">
      <formula>$D16&gt;1</formula>
    </cfRule>
  </conditionalFormatting>
  <conditionalFormatting sqref="O7:P7">
    <cfRule type="containsBlanks" dxfId="12" priority="7">
      <formula>LEN(TRIM(O7))=0</formula>
    </cfRule>
  </conditionalFormatting>
  <conditionalFormatting sqref="AM17:AN17 AT18 AM19:AN19 AY19 AT20 AM21:AN21 AY21 AT22 AM23:AN23 AY23 AT24 AY25 AY27 AT29 AY29 AT31 AY31 AT33 AY33 AT35 AY35 AY37 AY39 AR41 AV41 AY41 AY43">
    <cfRule type="cellIs" dxfId="11" priority="8" operator="greaterThan">
      <formula>0</formula>
    </cfRule>
  </conditionalFormatting>
  <conditionalFormatting sqref="AP29 AP31 AP33 AP35">
    <cfRule type="cellIs" dxfId="10" priority="4" operator="greaterThan">
      <formula>0</formula>
    </cfRule>
    <cfRule type="cellIs" dxfId="9" priority="6" operator="greaterThan">
      <formula>0</formula>
    </cfRule>
  </conditionalFormatting>
  <conditionalFormatting sqref="AP41">
    <cfRule type="cellIs" dxfId="8" priority="5" operator="greaterThan">
      <formula>0</formula>
    </cfRule>
  </conditionalFormatting>
  <conditionalFormatting sqref="BC19 BC21 BC23 BC25">
    <cfRule type="cellIs" dxfId="7" priority="3" operator="greaterThan">
      <formula>0</formula>
    </cfRule>
  </conditionalFormatting>
  <dataValidations disablePrompts="1" count="2">
    <dataValidation type="list" allowBlank="1" showInputMessage="1" showErrorMessage="1" sqref="W44" xr:uid="{566E2EC2-F3BF-465F-A654-FE938748B439}">
      <formula1>$S$15:$Z$15</formula1>
    </dataValidation>
    <dataValidation type="list" allowBlank="1" showInputMessage="1" sqref="Y6:Y9" xr:uid="{095B5DC1-540C-4D74-8FB7-88C5D8739BC3}">
      <formula1>$M$16:$M$40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7" r:id="rId4" name="Check Box 1">
              <controlPr defaultSize="0" autoFill="0" autoLine="0" autoPict="0">
                <anchor moveWithCells="1">
                  <from>
                    <xdr:col>26</xdr:col>
                    <xdr:colOff>30480</xdr:colOff>
                    <xdr:row>6</xdr:row>
                    <xdr:rowOff>144780</xdr:rowOff>
                  </from>
                  <to>
                    <xdr:col>26</xdr:col>
                    <xdr:colOff>1059180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14</xdr:col>
                    <xdr:colOff>220980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9" r:id="rId6" name="Option Button 3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0" r:id="rId7" name="Option Button 4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14</xdr:col>
                    <xdr:colOff>152400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2" r:id="rId9" name="Check Box 6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3" r:id="rId10" name="Check Box 7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C292A653-49AA-483E-8BC5-79F59448F8C1}">
          <x14:formula1>
            <xm:f>'Data Sheet'!$E$46:$E$47</xm:f>
          </x14:formula1>
          <xm:sqref>J16:J40</xm:sqref>
        </x14:dataValidation>
        <x14:dataValidation type="list" allowBlank="1" showInputMessage="1" showErrorMessage="1" xr:uid="{DF708BC6-DFB6-4029-8F45-BC27E9A01182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61358453-4CA5-42FF-A0F3-6E14DCB48413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EDCA9AC5-A850-4801-BFAB-883F3ACCB0E2}">
          <x14:formula1>
            <xm:f>'Data Sheet'!$B$37:$B$40</xm:f>
          </x14:formula1>
          <xm:sqref>P16:P40</xm:sqref>
        </x14:dataValidation>
        <x14:dataValidation type="list" allowBlank="1" showInputMessage="1" showErrorMessage="1" xr:uid="{632A2035-0EB7-4A2C-87B5-5DBB99F4F31A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0A6E06B1-69E7-4CEA-BCEA-0B895E8DA90A}">
          <x14:formula1>
            <xm:f>'Data Sheet'!$B$2:$CM$2</xm:f>
          </x14:formula1>
          <xm:sqref>O5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0C2D-D941-4631-BE29-C2FB639FC7BA}">
  <dimension ref="A2:CA303"/>
  <sheetViews>
    <sheetView showGridLines="0" view="pageBreakPreview" zoomScale="80" zoomScaleNormal="100" zoomScaleSheetLayoutView="80" zoomScalePageLayoutView="60" workbookViewId="0">
      <selection activeCell="BE60" sqref="BE60"/>
    </sheetView>
  </sheetViews>
  <sheetFormatPr defaultColWidth="8.88671875" defaultRowHeight="17.399999999999999" x14ac:dyDescent="0.3"/>
  <cols>
    <col min="1" max="1" width="11.44140625" style="352" customWidth="1"/>
    <col min="2" max="2" width="10.109375" style="352" customWidth="1"/>
    <col min="3" max="3" width="20.6640625" style="354" customWidth="1"/>
    <col min="4" max="4" width="24.88671875" style="354" customWidth="1"/>
    <col min="5" max="5" width="3.5546875" style="354" customWidth="1"/>
    <col min="6" max="6" width="14" style="354" customWidth="1"/>
    <col min="7" max="7" width="4.6640625" style="354" customWidth="1"/>
    <col min="8" max="8" width="23.5546875" style="354" customWidth="1"/>
    <col min="9" max="9" width="14.109375" style="354" customWidth="1"/>
    <col min="10" max="10" width="20.6640625" style="354" customWidth="1"/>
    <col min="11" max="11" width="24.6640625" style="354" customWidth="1"/>
    <col min="12" max="12" width="3.5546875" style="354" customWidth="1"/>
    <col min="13" max="13" width="14" style="354" customWidth="1"/>
    <col min="14" max="14" width="4.6640625" style="354" customWidth="1"/>
    <col min="15" max="15" width="23.44140625" style="354" customWidth="1"/>
    <col min="16" max="16" width="8.5546875" style="354" customWidth="1"/>
    <col min="17" max="17" width="11.44140625" style="352" customWidth="1"/>
    <col min="18" max="18" width="10.109375" style="352" customWidth="1"/>
    <col min="19" max="19" width="20.6640625" style="354" customWidth="1"/>
    <col min="20" max="20" width="24.88671875" style="354" customWidth="1"/>
    <col min="21" max="21" width="3.5546875" style="354" customWidth="1"/>
    <col min="22" max="22" width="14" style="354" customWidth="1"/>
    <col min="23" max="23" width="4.6640625" style="354" customWidth="1"/>
    <col min="24" max="24" width="23.5546875" style="354" customWidth="1"/>
    <col min="25" max="25" width="14.109375" style="354" customWidth="1"/>
    <col min="26" max="26" width="20.6640625" style="354" customWidth="1"/>
    <col min="27" max="27" width="24.6640625" style="354" customWidth="1"/>
    <col min="28" max="28" width="3.5546875" style="354" customWidth="1"/>
    <col min="29" max="29" width="14" style="354" customWidth="1"/>
    <col min="30" max="30" width="4.6640625" style="354" customWidth="1"/>
    <col min="31" max="31" width="23.44140625" style="354" customWidth="1"/>
    <col min="32" max="32" width="9.33203125" style="354" customWidth="1"/>
    <col min="33" max="33" width="11.44140625" style="352" customWidth="1"/>
    <col min="34" max="34" width="10.109375" style="352" customWidth="1"/>
    <col min="35" max="35" width="20.6640625" style="354" customWidth="1"/>
    <col min="36" max="36" width="24.88671875" style="354" customWidth="1"/>
    <col min="37" max="37" width="3.5546875" style="354" customWidth="1"/>
    <col min="38" max="38" width="14" style="354" customWidth="1"/>
    <col min="39" max="39" width="4.6640625" style="354" customWidth="1"/>
    <col min="40" max="40" width="23.5546875" style="354" customWidth="1"/>
    <col min="41" max="41" width="14.109375" style="354" customWidth="1"/>
    <col min="42" max="42" width="20.6640625" style="354" customWidth="1"/>
    <col min="43" max="43" width="24.6640625" style="354" customWidth="1"/>
    <col min="44" max="44" width="3.5546875" style="354" customWidth="1"/>
    <col min="45" max="45" width="14" style="354" customWidth="1"/>
    <col min="46" max="46" width="4.6640625" style="354" customWidth="1"/>
    <col min="47" max="47" width="23.44140625" style="354" customWidth="1"/>
    <col min="48" max="48" width="9" style="354" customWidth="1"/>
    <col min="49" max="49" width="11.44140625" style="352" customWidth="1"/>
    <col min="50" max="50" width="10.109375" style="352" customWidth="1"/>
    <col min="51" max="51" width="20.6640625" style="354" customWidth="1"/>
    <col min="52" max="52" width="24.88671875" style="354" customWidth="1"/>
    <col min="53" max="53" width="3.5546875" style="354" customWidth="1"/>
    <col min="54" max="54" width="14" style="354" customWidth="1"/>
    <col min="55" max="55" width="4.6640625" style="354" customWidth="1"/>
    <col min="56" max="56" width="23.5546875" style="354" customWidth="1"/>
    <col min="57" max="57" width="14.109375" style="354" customWidth="1"/>
    <col min="58" max="58" width="20.6640625" style="354" customWidth="1"/>
    <col min="59" max="59" width="24.6640625" style="354" customWidth="1"/>
    <col min="60" max="60" width="3.5546875" style="354" customWidth="1"/>
    <col min="61" max="61" width="14" style="354" customWidth="1"/>
    <col min="62" max="62" width="4.6640625" style="354" customWidth="1"/>
    <col min="63" max="63" width="23.44140625" style="354" customWidth="1"/>
    <col min="64" max="64" width="9.33203125" style="354" customWidth="1"/>
    <col min="65" max="65" width="11.44140625" style="352" customWidth="1"/>
    <col min="66" max="66" width="10.109375" style="352" customWidth="1"/>
    <col min="67" max="67" width="20.6640625" style="354" customWidth="1"/>
    <col min="68" max="68" width="24.88671875" style="354" customWidth="1"/>
    <col min="69" max="69" width="3.5546875" style="354" customWidth="1"/>
    <col min="70" max="70" width="14" style="354" customWidth="1"/>
    <col min="71" max="71" width="4.6640625" style="354" customWidth="1"/>
    <col min="72" max="72" width="23.5546875" style="354" customWidth="1"/>
    <col min="73" max="73" width="14.109375" style="354" customWidth="1"/>
    <col min="74" max="74" width="20.6640625" style="354" customWidth="1"/>
    <col min="75" max="75" width="24.6640625" style="354" customWidth="1"/>
    <col min="76" max="76" width="3.5546875" style="354" customWidth="1"/>
    <col min="77" max="77" width="14" style="354" customWidth="1"/>
    <col min="78" max="78" width="4.6640625" style="354" customWidth="1"/>
    <col min="79" max="79" width="23.44140625" style="354" customWidth="1"/>
    <col min="80" max="16384" width="8.88671875" style="354"/>
  </cols>
  <sheetData>
    <row r="2" spans="1:79" ht="29.25" customHeight="1" x14ac:dyDescent="0.4">
      <c r="C2" s="353" t="s">
        <v>83</v>
      </c>
      <c r="I2" s="355"/>
      <c r="J2" s="356"/>
      <c r="K2" s="356"/>
      <c r="L2" s="356"/>
      <c r="M2" s="356"/>
      <c r="S2" s="353" t="s">
        <v>83</v>
      </c>
      <c r="Y2" s="355"/>
      <c r="Z2" s="356"/>
      <c r="AA2" s="356"/>
      <c r="AB2" s="356"/>
      <c r="AC2" s="356"/>
      <c r="AI2" s="353" t="s">
        <v>83</v>
      </c>
      <c r="AO2" s="355"/>
      <c r="AP2" s="356"/>
      <c r="AQ2" s="356"/>
      <c r="AR2" s="356"/>
      <c r="AS2" s="356"/>
      <c r="AY2" s="353" t="s">
        <v>83</v>
      </c>
      <c r="BE2" s="355"/>
      <c r="BF2" s="356"/>
      <c r="BG2" s="356"/>
      <c r="BH2" s="356"/>
      <c r="BI2" s="356"/>
      <c r="BO2" s="353" t="s">
        <v>83</v>
      </c>
      <c r="BU2" s="355"/>
      <c r="BV2" s="356"/>
      <c r="BW2" s="356"/>
      <c r="BX2" s="356"/>
      <c r="BY2" s="356"/>
    </row>
    <row r="3" spans="1:79" ht="30.75" customHeight="1" thickBot="1" x14ac:dyDescent="0.45">
      <c r="C3" s="357"/>
      <c r="H3" s="358"/>
      <c r="S3" s="357"/>
      <c r="X3" s="358"/>
      <c r="AI3" s="357"/>
      <c r="AN3" s="358"/>
      <c r="AY3" s="357"/>
      <c r="BD3" s="358"/>
      <c r="BO3" s="357"/>
      <c r="BT3" s="358"/>
    </row>
    <row r="4" spans="1:79" ht="21" customHeight="1" thickBot="1" x14ac:dyDescent="0.7">
      <c r="A4" s="352" t="s">
        <v>2479</v>
      </c>
      <c r="B4" s="352" t="s">
        <v>2478</v>
      </c>
      <c r="C4" s="359" t="s">
        <v>21</v>
      </c>
      <c r="D4" s="564">
        <f>+jobnumber</f>
        <v>33303</v>
      </c>
      <c r="E4" s="565"/>
      <c r="F4" s="565"/>
      <c r="G4" s="566"/>
      <c r="H4" s="567" t="str">
        <f>+'Worksheet (2)'!$B16</f>
        <v>P2-RS1</v>
      </c>
      <c r="J4" s="359" t="s">
        <v>21</v>
      </c>
      <c r="K4" s="360">
        <f>+jobnumber</f>
        <v>33303</v>
      </c>
      <c r="L4" s="361"/>
      <c r="M4" s="361"/>
      <c r="N4" s="361"/>
      <c r="O4" s="567" t="str">
        <f>+H4</f>
        <v>P2-RS1</v>
      </c>
      <c r="P4" s="362"/>
      <c r="Q4" s="352" t="s">
        <v>53</v>
      </c>
      <c r="R4" s="352" t="s">
        <v>2486</v>
      </c>
      <c r="S4" s="359" t="s">
        <v>21</v>
      </c>
      <c r="T4" s="564">
        <f>+jobnumber</f>
        <v>33303</v>
      </c>
      <c r="U4" s="565"/>
      <c r="V4" s="565"/>
      <c r="W4" s="566"/>
      <c r="X4" s="567" t="str">
        <f>+'Worksheet (2)'!$B21</f>
        <v>P2-RS6</v>
      </c>
      <c r="Z4" s="359" t="s">
        <v>21</v>
      </c>
      <c r="AA4" s="360">
        <f>+jobnumber</f>
        <v>33303</v>
      </c>
      <c r="AB4" s="361"/>
      <c r="AC4" s="361"/>
      <c r="AD4" s="361"/>
      <c r="AE4" s="567" t="str">
        <f>+X4</f>
        <v>P2-RS6</v>
      </c>
      <c r="AF4" s="362"/>
      <c r="AG4" s="352" t="s">
        <v>59</v>
      </c>
      <c r="AH4" s="352" t="s">
        <v>2491</v>
      </c>
      <c r="AI4" s="359" t="s">
        <v>21</v>
      </c>
      <c r="AJ4" s="564">
        <f>+jobnumber</f>
        <v>33303</v>
      </c>
      <c r="AK4" s="565"/>
      <c r="AL4" s="565"/>
      <c r="AM4" s="566"/>
      <c r="AN4" s="567" t="str">
        <f>+'Worksheet (2)'!$B26</f>
        <v>P2-RS11</v>
      </c>
      <c r="AP4" s="359" t="s">
        <v>21</v>
      </c>
      <c r="AQ4" s="360">
        <f>+jobnumber</f>
        <v>33303</v>
      </c>
      <c r="AR4" s="361"/>
      <c r="AS4" s="361"/>
      <c r="AT4" s="361"/>
      <c r="AU4" s="567" t="str">
        <f>+AN4</f>
        <v>P2-RS11</v>
      </c>
      <c r="AV4" s="362"/>
      <c r="AW4" s="352" t="s">
        <v>64</v>
      </c>
      <c r="AX4" s="352" t="s">
        <v>2496</v>
      </c>
      <c r="AY4" s="359" t="s">
        <v>21</v>
      </c>
      <c r="AZ4" s="564">
        <f>+jobnumber</f>
        <v>33303</v>
      </c>
      <c r="BA4" s="565"/>
      <c r="BB4" s="565"/>
      <c r="BC4" s="566"/>
      <c r="BD4" s="567" t="str">
        <f>+'Worksheet (2)'!$B31</f>
        <v>P2-RS16</v>
      </c>
      <c r="BF4" s="359" t="s">
        <v>21</v>
      </c>
      <c r="BG4" s="360">
        <f>+jobnumber</f>
        <v>33303</v>
      </c>
      <c r="BH4" s="361"/>
      <c r="BI4" s="361"/>
      <c r="BJ4" s="361"/>
      <c r="BK4" s="567" t="str">
        <f>+BD4</f>
        <v>P2-RS16</v>
      </c>
      <c r="BL4" s="362"/>
      <c r="BM4" s="352" t="s">
        <v>177</v>
      </c>
      <c r="BN4" s="352" t="s">
        <v>2501</v>
      </c>
      <c r="BO4" s="359" t="s">
        <v>21</v>
      </c>
      <c r="BP4" s="564">
        <f>+jobnumber</f>
        <v>33303</v>
      </c>
      <c r="BQ4" s="565"/>
      <c r="BR4" s="565"/>
      <c r="BS4" s="566"/>
      <c r="BT4" s="567" t="str">
        <f>+'Worksheet (2)'!$B36</f>
        <v>P2-RS21</v>
      </c>
      <c r="BV4" s="359" t="s">
        <v>21</v>
      </c>
      <c r="BW4" s="360">
        <f>+jobnumber</f>
        <v>33303</v>
      </c>
      <c r="BX4" s="361"/>
      <c r="BY4" s="361"/>
      <c r="BZ4" s="361"/>
      <c r="CA4" s="567" t="str">
        <f>+BT4</f>
        <v>P2-RS21</v>
      </c>
    </row>
    <row r="5" spans="1:79" s="364" customFormat="1" ht="21" customHeight="1" thickBot="1" x14ac:dyDescent="0.7">
      <c r="A5" s="352"/>
      <c r="B5" s="352"/>
      <c r="C5" s="363" t="s">
        <v>2626</v>
      </c>
      <c r="D5" s="569" t="str">
        <f>+_xlfn.SINGLE(bill_name)</f>
        <v>JLL</v>
      </c>
      <c r="E5" s="570"/>
      <c r="F5" s="570"/>
      <c r="G5" s="571"/>
      <c r="H5" s="568"/>
      <c r="J5" s="365" t="s">
        <v>22</v>
      </c>
      <c r="K5" s="366" t="str">
        <f>+_xlfn.SINGLE(bill_name)</f>
        <v>JLL</v>
      </c>
      <c r="L5" s="367"/>
      <c r="M5" s="367"/>
      <c r="N5" s="367"/>
      <c r="O5" s="568"/>
      <c r="P5" s="362"/>
      <c r="Q5" s="352"/>
      <c r="R5" s="352"/>
      <c r="S5" s="363" t="s">
        <v>2626</v>
      </c>
      <c r="T5" s="569" t="str">
        <f>+_xlfn.SINGLE(bill_name)</f>
        <v>JLL</v>
      </c>
      <c r="U5" s="570"/>
      <c r="V5" s="570"/>
      <c r="W5" s="571"/>
      <c r="X5" s="568"/>
      <c r="Z5" s="365" t="s">
        <v>22</v>
      </c>
      <c r="AA5" s="366" t="str">
        <f>+_xlfn.SINGLE(bill_name)</f>
        <v>JLL</v>
      </c>
      <c r="AB5" s="367"/>
      <c r="AC5" s="367"/>
      <c r="AD5" s="367"/>
      <c r="AE5" s="568"/>
      <c r="AF5" s="362"/>
      <c r="AG5" s="352"/>
      <c r="AH5" s="352"/>
      <c r="AI5" s="363" t="s">
        <v>2626</v>
      </c>
      <c r="AJ5" s="569" t="str">
        <f>+_xlfn.SINGLE(bill_name)</f>
        <v>JLL</v>
      </c>
      <c r="AK5" s="570"/>
      <c r="AL5" s="570"/>
      <c r="AM5" s="571"/>
      <c r="AN5" s="568"/>
      <c r="AP5" s="365" t="s">
        <v>22</v>
      </c>
      <c r="AQ5" s="366" t="str">
        <f>+_xlfn.SINGLE(bill_name)</f>
        <v>JLL</v>
      </c>
      <c r="AR5" s="367"/>
      <c r="AS5" s="367"/>
      <c r="AT5" s="367"/>
      <c r="AU5" s="568"/>
      <c r="AV5" s="362"/>
      <c r="AW5" s="352"/>
      <c r="AX5" s="352"/>
      <c r="AY5" s="363" t="s">
        <v>2626</v>
      </c>
      <c r="AZ5" s="569" t="str">
        <f>+_xlfn.SINGLE(bill_name)</f>
        <v>JLL</v>
      </c>
      <c r="BA5" s="570"/>
      <c r="BB5" s="570"/>
      <c r="BC5" s="571"/>
      <c r="BD5" s="568"/>
      <c r="BF5" s="365" t="s">
        <v>22</v>
      </c>
      <c r="BG5" s="366" t="str">
        <f>+_xlfn.SINGLE(bill_name)</f>
        <v>JLL</v>
      </c>
      <c r="BH5" s="367"/>
      <c r="BI5" s="367"/>
      <c r="BJ5" s="367"/>
      <c r="BK5" s="568"/>
      <c r="BL5" s="362"/>
      <c r="BM5" s="352"/>
      <c r="BN5" s="352"/>
      <c r="BO5" s="363" t="s">
        <v>2626</v>
      </c>
      <c r="BP5" s="569" t="str">
        <f>+_xlfn.SINGLE(bill_name)</f>
        <v>JLL</v>
      </c>
      <c r="BQ5" s="570"/>
      <c r="BR5" s="570"/>
      <c r="BS5" s="571"/>
      <c r="BT5" s="568"/>
      <c r="BV5" s="365" t="s">
        <v>22</v>
      </c>
      <c r="BW5" s="366" t="str">
        <f>+_xlfn.SINGLE(bill_name)</f>
        <v>JLL</v>
      </c>
      <c r="BX5" s="367"/>
      <c r="BY5" s="367"/>
      <c r="BZ5" s="367"/>
      <c r="CA5" s="568"/>
    </row>
    <row r="6" spans="1:79" s="364" customFormat="1" ht="21" customHeight="1" x14ac:dyDescent="0.4">
      <c r="A6" s="352"/>
      <c r="B6" s="352"/>
      <c r="C6" s="368" t="s">
        <v>2627</v>
      </c>
      <c r="D6" s="572" t="str">
        <f>+jobname</f>
        <v>Cottonwood Creek WO#I5187109-00104</v>
      </c>
      <c r="E6" s="573"/>
      <c r="F6" s="573"/>
      <c r="G6" s="573"/>
      <c r="H6" s="574"/>
      <c r="J6" s="369" t="s">
        <v>78</v>
      </c>
      <c r="K6" s="370" t="str">
        <f>+jobname</f>
        <v>Cottonwood Creek WO#I5187109-00104</v>
      </c>
      <c r="L6" s="371"/>
      <c r="M6" s="371"/>
      <c r="N6" s="371"/>
      <c r="O6" s="372"/>
      <c r="P6" s="373"/>
      <c r="Q6" s="352"/>
      <c r="R6" s="352"/>
      <c r="S6" s="368" t="s">
        <v>2627</v>
      </c>
      <c r="T6" s="572" t="str">
        <f>+jobname</f>
        <v>Cottonwood Creek WO#I5187109-00104</v>
      </c>
      <c r="U6" s="573"/>
      <c r="V6" s="573"/>
      <c r="W6" s="573"/>
      <c r="X6" s="574"/>
      <c r="Z6" s="369" t="s">
        <v>78</v>
      </c>
      <c r="AA6" s="370" t="str">
        <f>+jobname</f>
        <v>Cottonwood Creek WO#I5187109-00104</v>
      </c>
      <c r="AB6" s="371"/>
      <c r="AC6" s="371"/>
      <c r="AD6" s="371"/>
      <c r="AE6" s="372"/>
      <c r="AF6" s="373"/>
      <c r="AG6" s="352" t="s">
        <v>81</v>
      </c>
      <c r="AH6" s="352"/>
      <c r="AI6" s="368" t="s">
        <v>2627</v>
      </c>
      <c r="AJ6" s="572" t="str">
        <f>+jobname</f>
        <v>Cottonwood Creek WO#I5187109-00104</v>
      </c>
      <c r="AK6" s="573"/>
      <c r="AL6" s="573"/>
      <c r="AM6" s="573"/>
      <c r="AN6" s="574"/>
      <c r="AP6" s="369" t="s">
        <v>78</v>
      </c>
      <c r="AQ6" s="370" t="str">
        <f>+jobname</f>
        <v>Cottonwood Creek WO#I5187109-00104</v>
      </c>
      <c r="AR6" s="371"/>
      <c r="AS6" s="371"/>
      <c r="AT6" s="371"/>
      <c r="AU6" s="372"/>
      <c r="AV6" s="373"/>
      <c r="AW6" s="352"/>
      <c r="AX6" s="352"/>
      <c r="AY6" s="368" t="s">
        <v>2627</v>
      </c>
      <c r="AZ6" s="572" t="str">
        <f>+jobname</f>
        <v>Cottonwood Creek WO#I5187109-00104</v>
      </c>
      <c r="BA6" s="573"/>
      <c r="BB6" s="573"/>
      <c r="BC6" s="573"/>
      <c r="BD6" s="574"/>
      <c r="BF6" s="369" t="s">
        <v>78</v>
      </c>
      <c r="BG6" s="370" t="str">
        <f>+jobname</f>
        <v>Cottonwood Creek WO#I5187109-00104</v>
      </c>
      <c r="BH6" s="371"/>
      <c r="BI6" s="371"/>
      <c r="BJ6" s="371"/>
      <c r="BK6" s="372"/>
      <c r="BL6" s="373"/>
      <c r="BM6" s="352"/>
      <c r="BN6" s="352"/>
      <c r="BO6" s="368" t="s">
        <v>2627</v>
      </c>
      <c r="BP6" s="572" t="str">
        <f>+jobname</f>
        <v>Cottonwood Creek WO#I5187109-00104</v>
      </c>
      <c r="BQ6" s="573"/>
      <c r="BR6" s="573"/>
      <c r="BS6" s="573"/>
      <c r="BT6" s="574"/>
      <c r="BV6" s="369" t="s">
        <v>78</v>
      </c>
      <c r="BW6" s="370" t="str">
        <f>+jobname</f>
        <v>Cottonwood Creek WO#I5187109-00104</v>
      </c>
      <c r="BX6" s="371"/>
      <c r="BY6" s="371"/>
      <c r="BZ6" s="371"/>
      <c r="CA6" s="372"/>
    </row>
    <row r="7" spans="1:79" s="364" customFormat="1" ht="21" customHeight="1" x14ac:dyDescent="0.35">
      <c r="A7" s="352"/>
      <c r="B7" s="352"/>
      <c r="C7" s="374" t="s">
        <v>23</v>
      </c>
      <c r="D7" s="575">
        <f>+'Worksheet (2)'!$C16</f>
        <v>0</v>
      </c>
      <c r="E7" s="576"/>
      <c r="F7" s="576"/>
      <c r="G7" s="371"/>
      <c r="H7" s="375" t="str">
        <f>+IF('Worksheet (2)'!$O$9=1,"Install",IF('Worksheet (2)'!$O$9=2,"Deliver",IF('Worksheet (2)'!$O$9=3,"Will Call",0)))</f>
        <v>Install</v>
      </c>
      <c r="J7" s="374" t="s">
        <v>23</v>
      </c>
      <c r="K7" s="373">
        <f>D7</f>
        <v>0</v>
      </c>
      <c r="L7" s="371"/>
      <c r="M7" s="371"/>
      <c r="N7" s="371"/>
      <c r="O7" s="376" t="str">
        <f>H7</f>
        <v>Install</v>
      </c>
      <c r="P7" s="373"/>
      <c r="Q7" s="352"/>
      <c r="R7" s="352"/>
      <c r="S7" s="374" t="s">
        <v>23</v>
      </c>
      <c r="T7" s="575">
        <f>+'Worksheet (2)'!$C21</f>
        <v>0</v>
      </c>
      <c r="U7" s="576"/>
      <c r="V7" s="576"/>
      <c r="W7" s="371"/>
      <c r="X7" s="375" t="str">
        <f>+IF('Worksheet (2)'!$O$9=1,"Install",IF('Worksheet (2)'!$O$9=2,"Deliver",IF('Worksheet (2)'!$O$9=3,"Will Call",0)))</f>
        <v>Install</v>
      </c>
      <c r="Z7" s="374" t="s">
        <v>23</v>
      </c>
      <c r="AA7" s="373">
        <f>T7</f>
        <v>0</v>
      </c>
      <c r="AB7" s="371"/>
      <c r="AC7" s="371"/>
      <c r="AD7" s="371"/>
      <c r="AE7" s="376" t="str">
        <f>X7</f>
        <v>Install</v>
      </c>
      <c r="AF7" s="373"/>
      <c r="AG7" s="352"/>
      <c r="AH7" s="352"/>
      <c r="AI7" s="374" t="s">
        <v>23</v>
      </c>
      <c r="AJ7" s="575">
        <f>+'Worksheet (2)'!$C26</f>
        <v>0</v>
      </c>
      <c r="AK7" s="576"/>
      <c r="AL7" s="576"/>
      <c r="AM7" s="371"/>
      <c r="AN7" s="375" t="str">
        <f>+IF('Worksheet (2)'!$O$9=1,"Install",IF('Worksheet (2)'!$O$9=2,"Deliver",IF('Worksheet (2)'!$O$9=3,"Will Call",0)))</f>
        <v>Install</v>
      </c>
      <c r="AP7" s="374" t="s">
        <v>23</v>
      </c>
      <c r="AQ7" s="373">
        <f>AJ7</f>
        <v>0</v>
      </c>
      <c r="AR7" s="371"/>
      <c r="AS7" s="371"/>
      <c r="AT7" s="371"/>
      <c r="AU7" s="376" t="str">
        <f>AN7</f>
        <v>Install</v>
      </c>
      <c r="AV7" s="373"/>
      <c r="AW7" s="352"/>
      <c r="AX7" s="352"/>
      <c r="AY7" s="374" t="s">
        <v>23</v>
      </c>
      <c r="AZ7" s="575">
        <f>+'Worksheet (2)'!$C31</f>
        <v>0</v>
      </c>
      <c r="BA7" s="576"/>
      <c r="BB7" s="576"/>
      <c r="BC7" s="371"/>
      <c r="BD7" s="375" t="str">
        <f>+IF('Worksheet (2)'!$O$9=1,"Install",IF('Worksheet (2)'!$O$9=2,"Deliver",IF('Worksheet (2)'!$O$9=3,"Will Call",0)))</f>
        <v>Install</v>
      </c>
      <c r="BF7" s="374" t="s">
        <v>23</v>
      </c>
      <c r="BG7" s="373">
        <f>AZ7</f>
        <v>0</v>
      </c>
      <c r="BH7" s="371"/>
      <c r="BI7" s="371"/>
      <c r="BJ7" s="371"/>
      <c r="BK7" s="376" t="str">
        <f>BD7</f>
        <v>Install</v>
      </c>
      <c r="BL7" s="373"/>
      <c r="BM7" s="352"/>
      <c r="BN7" s="352"/>
      <c r="BO7" s="374" t="s">
        <v>23</v>
      </c>
      <c r="BP7" s="575">
        <f>+'Worksheet (2)'!$C36</f>
        <v>0</v>
      </c>
      <c r="BQ7" s="576"/>
      <c r="BR7" s="576"/>
      <c r="BS7" s="371"/>
      <c r="BT7" s="375" t="str">
        <f>+IF('Worksheet (2)'!$O$9=1,"Install",IF('Worksheet (2)'!$O$9=2,"Deliver",IF('Worksheet (2)'!$O$9=3,"Will Call",0)))</f>
        <v>Install</v>
      </c>
      <c r="BV7" s="374" t="s">
        <v>23</v>
      </c>
      <c r="BW7" s="373">
        <f>BP7</f>
        <v>0</v>
      </c>
      <c r="BX7" s="371"/>
      <c r="BY7" s="371"/>
      <c r="BZ7" s="371"/>
      <c r="CA7" s="376" t="str">
        <f>BT7</f>
        <v>Install</v>
      </c>
    </row>
    <row r="8" spans="1:79" s="364" customFormat="1" ht="21" customHeight="1" x14ac:dyDescent="0.35">
      <c r="A8" s="352"/>
      <c r="B8" s="352"/>
      <c r="C8" s="377">
        <f>+IF('Worksheet (2)'!$D16&gt;0,'Worksheet (2)'!$E16,0)</f>
        <v>0</v>
      </c>
      <c r="D8" s="378">
        <f>+'Worksheet (2)'!$F16</f>
        <v>0</v>
      </c>
      <c r="E8" s="379" t="s">
        <v>4</v>
      </c>
      <c r="F8" s="378">
        <f>+'Worksheet (2)'!$H16</f>
        <v>0</v>
      </c>
      <c r="G8" s="380"/>
      <c r="H8" s="381">
        <f>+'Worksheet (2)'!$I16</f>
        <v>0</v>
      </c>
      <c r="J8" s="377"/>
      <c r="N8" s="380"/>
      <c r="O8" s="381">
        <f>H8</f>
        <v>0</v>
      </c>
      <c r="P8" s="382"/>
      <c r="Q8" s="352" t="s">
        <v>81</v>
      </c>
      <c r="R8" s="352"/>
      <c r="S8" s="377">
        <f>+IF('Worksheet (2)'!$D21&gt;0,'Worksheet (2)'!$E21,0)</f>
        <v>0</v>
      </c>
      <c r="T8" s="378">
        <f>+'Worksheet (2)'!$F21</f>
        <v>0</v>
      </c>
      <c r="U8" s="379" t="s">
        <v>4</v>
      </c>
      <c r="V8" s="378">
        <f>+'Worksheet (2)'!$H21</f>
        <v>0</v>
      </c>
      <c r="W8" s="380"/>
      <c r="X8" s="381">
        <f>+'Worksheet (2)'!$I21</f>
        <v>0</v>
      </c>
      <c r="Z8" s="377"/>
      <c r="AD8" s="380"/>
      <c r="AE8" s="381">
        <f>X8</f>
        <v>0</v>
      </c>
      <c r="AF8" s="382"/>
      <c r="AG8" s="352"/>
      <c r="AH8" s="352"/>
      <c r="AI8" s="377">
        <f>+IF('Worksheet (2)'!$D26&gt;0,'Worksheet (2)'!$E26,0)</f>
        <v>0</v>
      </c>
      <c r="AJ8" s="378">
        <f>+'Worksheet (2)'!$F26</f>
        <v>0</v>
      </c>
      <c r="AK8" s="379" t="s">
        <v>4</v>
      </c>
      <c r="AL8" s="378">
        <f>+'Worksheet (2)'!$H26</f>
        <v>0</v>
      </c>
      <c r="AM8" s="380"/>
      <c r="AN8" s="381">
        <f>+'Worksheet (2)'!$I26</f>
        <v>0</v>
      </c>
      <c r="AP8" s="377"/>
      <c r="AT8" s="380"/>
      <c r="AU8" s="381">
        <f>AN8</f>
        <v>0</v>
      </c>
      <c r="AV8" s="382"/>
      <c r="AW8" s="352"/>
      <c r="AX8" s="352"/>
      <c r="AY8" s="377">
        <f>+IF('Worksheet (2)'!$D31&gt;0,'Worksheet (2)'!$E31,0)</f>
        <v>0</v>
      </c>
      <c r="AZ8" s="378">
        <f>+'Worksheet (2)'!$F31</f>
        <v>0</v>
      </c>
      <c r="BA8" s="379" t="s">
        <v>4</v>
      </c>
      <c r="BB8" s="378">
        <f>+'Worksheet (2)'!$H31</f>
        <v>0</v>
      </c>
      <c r="BC8" s="380"/>
      <c r="BD8" s="381">
        <f>+'Worksheet (2)'!$I31</f>
        <v>0</v>
      </c>
      <c r="BF8" s="377"/>
      <c r="BJ8" s="380"/>
      <c r="BK8" s="381">
        <f>BD8</f>
        <v>0</v>
      </c>
      <c r="BL8" s="382"/>
      <c r="BM8" s="352"/>
      <c r="BN8" s="352"/>
      <c r="BO8" s="377">
        <f>+IF('Worksheet (2)'!$D36&gt;0,'Worksheet (2)'!$E36,0)</f>
        <v>0</v>
      </c>
      <c r="BP8" s="378">
        <f>+'Worksheet (2)'!$F36</f>
        <v>0</v>
      </c>
      <c r="BQ8" s="379" t="s">
        <v>4</v>
      </c>
      <c r="BR8" s="378">
        <f>+'Worksheet (2)'!$H36</f>
        <v>0</v>
      </c>
      <c r="BS8" s="380"/>
      <c r="BT8" s="381">
        <f>+'Worksheet (2)'!$I36</f>
        <v>0</v>
      </c>
      <c r="BV8" s="377"/>
      <c r="BZ8" s="380"/>
      <c r="CA8" s="381">
        <f>BT8</f>
        <v>0</v>
      </c>
    </row>
    <row r="9" spans="1:79" ht="21" customHeight="1" x14ac:dyDescent="0.35">
      <c r="C9" s="383" t="s">
        <v>19</v>
      </c>
      <c r="D9" s="592">
        <f>+'Worksheet (2)'!$M16</f>
        <v>0</v>
      </c>
      <c r="E9" s="593"/>
      <c r="F9" s="593"/>
      <c r="G9" s="384"/>
      <c r="H9" s="385"/>
      <c r="J9" s="374" t="s">
        <v>2594</v>
      </c>
      <c r="K9" s="378">
        <f>D8</f>
        <v>0</v>
      </c>
      <c r="L9" s="378" t="str">
        <f>+E8</f>
        <v>X</v>
      </c>
      <c r="M9" s="378">
        <f>F8</f>
        <v>0</v>
      </c>
      <c r="N9" s="384"/>
      <c r="O9" s="385"/>
      <c r="P9" s="384"/>
      <c r="S9" s="383" t="s">
        <v>19</v>
      </c>
      <c r="T9" s="592">
        <f>+'Worksheet (2)'!$M21</f>
        <v>0</v>
      </c>
      <c r="U9" s="593"/>
      <c r="V9" s="593"/>
      <c r="W9" s="384"/>
      <c r="X9" s="385"/>
      <c r="Z9" s="374" t="s">
        <v>2594</v>
      </c>
      <c r="AA9" s="378">
        <f>T8</f>
        <v>0</v>
      </c>
      <c r="AB9" s="378" t="str">
        <f>+U8</f>
        <v>X</v>
      </c>
      <c r="AC9" s="378">
        <f>V8</f>
        <v>0</v>
      </c>
      <c r="AD9" s="384"/>
      <c r="AE9" s="385"/>
      <c r="AF9" s="384"/>
      <c r="AI9" s="383" t="s">
        <v>19</v>
      </c>
      <c r="AJ9" s="592">
        <f>+'Worksheet (2)'!$M26</f>
        <v>0</v>
      </c>
      <c r="AK9" s="593"/>
      <c r="AL9" s="593"/>
      <c r="AM9" s="384"/>
      <c r="AN9" s="385"/>
      <c r="AP9" s="374" t="s">
        <v>2594</v>
      </c>
      <c r="AQ9" s="378">
        <f>AJ8</f>
        <v>0</v>
      </c>
      <c r="AR9" s="378" t="str">
        <f>+AK8</f>
        <v>X</v>
      </c>
      <c r="AS9" s="378">
        <f>AL8</f>
        <v>0</v>
      </c>
      <c r="AT9" s="384"/>
      <c r="AU9" s="385"/>
      <c r="AV9" s="384"/>
      <c r="AY9" s="383" t="s">
        <v>19</v>
      </c>
      <c r="AZ9" s="592">
        <f>+'Worksheet (2)'!$M31</f>
        <v>0</v>
      </c>
      <c r="BA9" s="593"/>
      <c r="BB9" s="593"/>
      <c r="BC9" s="384"/>
      <c r="BD9" s="385"/>
      <c r="BF9" s="374" t="s">
        <v>2594</v>
      </c>
      <c r="BG9" s="378">
        <f>AZ8</f>
        <v>0</v>
      </c>
      <c r="BH9" s="378" t="str">
        <f>+BA8</f>
        <v>X</v>
      </c>
      <c r="BI9" s="378">
        <f>BB8</f>
        <v>0</v>
      </c>
      <c r="BJ9" s="384"/>
      <c r="BK9" s="385"/>
      <c r="BL9" s="384"/>
      <c r="BO9" s="383" t="s">
        <v>19</v>
      </c>
      <c r="BP9" s="592">
        <f>+'Worksheet (2)'!$M36</f>
        <v>0</v>
      </c>
      <c r="BQ9" s="593"/>
      <c r="BR9" s="593"/>
      <c r="BS9" s="384"/>
      <c r="BT9" s="385"/>
      <c r="BV9" s="374" t="s">
        <v>2594</v>
      </c>
      <c r="BW9" s="378">
        <f>BP8</f>
        <v>0</v>
      </c>
      <c r="BX9" s="378" t="str">
        <f>+BQ8</f>
        <v>X</v>
      </c>
      <c r="BY9" s="378">
        <f>BR8</f>
        <v>0</v>
      </c>
      <c r="BZ9" s="384"/>
      <c r="CA9" s="385"/>
    </row>
    <row r="10" spans="1:79" ht="21" customHeight="1" x14ac:dyDescent="0.35">
      <c r="C10" s="386" t="s">
        <v>24</v>
      </c>
      <c r="D10" s="387">
        <f>+IF('Worksheet (2)'!$O16="V","fabric verticle",IF('Worksheet (2)'!$O16="RR","fabric Railroad",0))</f>
        <v>0</v>
      </c>
      <c r="E10" s="594" t="s">
        <v>25</v>
      </c>
      <c r="F10" s="595"/>
      <c r="G10" s="596"/>
      <c r="H10" s="388" t="str">
        <f>+IF('Worksheet (2)'!$J16&gt;0,'Worksheet (2)'!$J16,"NO")</f>
        <v>NO</v>
      </c>
      <c r="J10" s="377"/>
      <c r="K10" s="389"/>
      <c r="L10" s="580" t="s">
        <v>2593</v>
      </c>
      <c r="M10" s="581"/>
      <c r="N10" s="581"/>
      <c r="O10" s="582"/>
      <c r="P10" s="420"/>
      <c r="S10" s="386" t="s">
        <v>24</v>
      </c>
      <c r="T10" s="387">
        <f>+IF('Worksheet (2)'!$O21="V","fabric verticle",IF('Worksheet (2)'!$O21="RR","fabric Railroad",0))</f>
        <v>0</v>
      </c>
      <c r="U10" s="594" t="s">
        <v>25</v>
      </c>
      <c r="V10" s="595"/>
      <c r="W10" s="596"/>
      <c r="X10" s="388" t="str">
        <f>+IF('Worksheet (2)'!$J21&gt;0,'Worksheet (2)'!$J21,"NO")</f>
        <v>NO</v>
      </c>
      <c r="Z10" s="377"/>
      <c r="AA10" s="389"/>
      <c r="AB10" s="580" t="s">
        <v>2593</v>
      </c>
      <c r="AC10" s="581"/>
      <c r="AD10" s="581"/>
      <c r="AE10" s="582"/>
      <c r="AF10" s="420"/>
      <c r="AI10" s="386" t="s">
        <v>24</v>
      </c>
      <c r="AJ10" s="387">
        <f>+IF('Worksheet (2)'!$O26="V","fabric verticle",IF('Worksheet (2)'!$O26="RR","fabric Railroad",0))</f>
        <v>0</v>
      </c>
      <c r="AK10" s="594" t="s">
        <v>25</v>
      </c>
      <c r="AL10" s="595"/>
      <c r="AM10" s="596"/>
      <c r="AN10" s="388" t="str">
        <f>+IF('Worksheet (2)'!$J26&gt;0,'Worksheet (2)'!$J26,"NO")</f>
        <v>NO</v>
      </c>
      <c r="AP10" s="377"/>
      <c r="AQ10" s="389"/>
      <c r="AR10" s="580" t="s">
        <v>2593</v>
      </c>
      <c r="AS10" s="581"/>
      <c r="AT10" s="581"/>
      <c r="AU10" s="582"/>
      <c r="AV10" s="420"/>
      <c r="AY10" s="386" t="s">
        <v>24</v>
      </c>
      <c r="AZ10" s="387">
        <f>+IF('Worksheet (2)'!$O31="V","fabric verticle",IF('Worksheet (2)'!$O31="RR","fabric Railroad",0))</f>
        <v>0</v>
      </c>
      <c r="BA10" s="594" t="s">
        <v>25</v>
      </c>
      <c r="BB10" s="595"/>
      <c r="BC10" s="596"/>
      <c r="BD10" s="388" t="str">
        <f>+IF('Worksheet (2)'!$J31&gt;0,'Worksheet (2)'!$J31,"NO")</f>
        <v>NO</v>
      </c>
      <c r="BF10" s="377"/>
      <c r="BG10" s="389"/>
      <c r="BH10" s="580" t="s">
        <v>2593</v>
      </c>
      <c r="BI10" s="581"/>
      <c r="BJ10" s="581"/>
      <c r="BK10" s="582"/>
      <c r="BL10" s="420"/>
      <c r="BO10" s="386" t="s">
        <v>24</v>
      </c>
      <c r="BP10" s="387">
        <f>+IF('Worksheet (2)'!$O36="V","fabric verticle",IF('Worksheet (2)'!$O36="RR","fabric Railroad",0))</f>
        <v>0</v>
      </c>
      <c r="BQ10" s="594" t="s">
        <v>25</v>
      </c>
      <c r="BR10" s="595"/>
      <c r="BS10" s="596"/>
      <c r="BT10" s="388" t="str">
        <f>+IF('Worksheet (2)'!$J36&gt;0,'Worksheet (2)'!$J36,"NO")</f>
        <v>NO</v>
      </c>
      <c r="BV10" s="377"/>
      <c r="BW10" s="389"/>
      <c r="BX10" s="580" t="s">
        <v>2593</v>
      </c>
      <c r="BY10" s="581"/>
      <c r="BZ10" s="581"/>
      <c r="CA10" s="582"/>
    </row>
    <row r="11" spans="1:79" s="391" customFormat="1" ht="21" customHeight="1" x14ac:dyDescent="0.3">
      <c r="A11" s="352"/>
      <c r="B11" s="352"/>
      <c r="C11" s="585">
        <f>+'Worksheet (2)'!$N16</f>
        <v>0</v>
      </c>
      <c r="D11" s="586"/>
      <c r="E11" s="587" t="s">
        <v>26</v>
      </c>
      <c r="F11" s="588"/>
      <c r="G11" s="589"/>
      <c r="H11" s="390">
        <f>+'Worksheet (2)'!$L16</f>
        <v>0</v>
      </c>
      <c r="J11" s="590"/>
      <c r="K11" s="591"/>
      <c r="L11" s="581"/>
      <c r="M11" s="581"/>
      <c r="N11" s="581"/>
      <c r="O11" s="582"/>
      <c r="P11" s="420"/>
      <c r="Q11" s="352"/>
      <c r="R11" s="352"/>
      <c r="S11" s="585">
        <f>+'Worksheet (2)'!$N21</f>
        <v>0</v>
      </c>
      <c r="T11" s="586"/>
      <c r="U11" s="587" t="s">
        <v>26</v>
      </c>
      <c r="V11" s="588"/>
      <c r="W11" s="589"/>
      <c r="X11" s="390">
        <f>+'Worksheet (2)'!$L21</f>
        <v>0</v>
      </c>
      <c r="Z11" s="590"/>
      <c r="AA11" s="591"/>
      <c r="AB11" s="581"/>
      <c r="AC11" s="581"/>
      <c r="AD11" s="581"/>
      <c r="AE11" s="582"/>
      <c r="AF11" s="420"/>
      <c r="AG11" s="352"/>
      <c r="AH11" s="352"/>
      <c r="AI11" s="585">
        <f>+'Worksheet (2)'!$N26</f>
        <v>0</v>
      </c>
      <c r="AJ11" s="586"/>
      <c r="AK11" s="587" t="s">
        <v>26</v>
      </c>
      <c r="AL11" s="588"/>
      <c r="AM11" s="589"/>
      <c r="AN11" s="390">
        <f>+'Worksheet (2)'!$L26</f>
        <v>0</v>
      </c>
      <c r="AP11" s="590"/>
      <c r="AQ11" s="591"/>
      <c r="AR11" s="581"/>
      <c r="AS11" s="581"/>
      <c r="AT11" s="581"/>
      <c r="AU11" s="582"/>
      <c r="AV11" s="420"/>
      <c r="AW11" s="352"/>
      <c r="AX11" s="352"/>
      <c r="AY11" s="585">
        <f>+'Worksheet (2)'!$N31</f>
        <v>0</v>
      </c>
      <c r="AZ11" s="586"/>
      <c r="BA11" s="587" t="s">
        <v>26</v>
      </c>
      <c r="BB11" s="588"/>
      <c r="BC11" s="589"/>
      <c r="BD11" s="390">
        <f>+'Worksheet (2)'!$L31</f>
        <v>0</v>
      </c>
      <c r="BF11" s="590"/>
      <c r="BG11" s="591"/>
      <c r="BH11" s="581"/>
      <c r="BI11" s="581"/>
      <c r="BJ11" s="581"/>
      <c r="BK11" s="582"/>
      <c r="BL11" s="420"/>
      <c r="BM11" s="352"/>
      <c r="BN11" s="352"/>
      <c r="BO11" s="585">
        <f>+'Worksheet (2)'!$N36</f>
        <v>0</v>
      </c>
      <c r="BP11" s="586"/>
      <c r="BQ11" s="587" t="s">
        <v>26</v>
      </c>
      <c r="BR11" s="588"/>
      <c r="BS11" s="589"/>
      <c r="BT11" s="390">
        <f>+'Worksheet (2)'!$L36</f>
        <v>0</v>
      </c>
      <c r="BV11" s="590"/>
      <c r="BW11" s="591"/>
      <c r="BX11" s="581"/>
      <c r="BY11" s="581"/>
      <c r="BZ11" s="581"/>
      <c r="CA11" s="582"/>
    </row>
    <row r="12" spans="1:79" ht="21" customHeight="1" x14ac:dyDescent="0.35">
      <c r="C12" s="392" t="s">
        <v>20</v>
      </c>
      <c r="D12" s="393" t="s">
        <v>27</v>
      </c>
      <c r="E12" s="594" t="s">
        <v>28</v>
      </c>
      <c r="F12" s="595"/>
      <c r="G12" s="596"/>
      <c r="H12" s="394" t="str">
        <f>+IF('Worksheet (2)'!$K16&gt;0,'Worksheet (2)'!$K16,"NO facia")</f>
        <v>NO facia</v>
      </c>
      <c r="J12" s="392" t="s">
        <v>20</v>
      </c>
      <c r="K12" s="393" t="s">
        <v>27</v>
      </c>
      <c r="L12" s="581"/>
      <c r="M12" s="581"/>
      <c r="N12" s="581"/>
      <c r="O12" s="582"/>
      <c r="P12" s="420"/>
      <c r="S12" s="392" t="s">
        <v>20</v>
      </c>
      <c r="T12" s="393" t="s">
        <v>27</v>
      </c>
      <c r="U12" s="594" t="s">
        <v>28</v>
      </c>
      <c r="V12" s="595"/>
      <c r="W12" s="596"/>
      <c r="X12" s="394" t="str">
        <f>+IF('Worksheet (2)'!$K21&gt;0,'Worksheet (2)'!$K21,"NO facia")</f>
        <v>NO facia</v>
      </c>
      <c r="Z12" s="392" t="s">
        <v>20</v>
      </c>
      <c r="AA12" s="393" t="s">
        <v>27</v>
      </c>
      <c r="AB12" s="581"/>
      <c r="AC12" s="581"/>
      <c r="AD12" s="581"/>
      <c r="AE12" s="582"/>
      <c r="AF12" s="420"/>
      <c r="AI12" s="392" t="s">
        <v>20</v>
      </c>
      <c r="AJ12" s="393" t="s">
        <v>27</v>
      </c>
      <c r="AK12" s="594" t="s">
        <v>28</v>
      </c>
      <c r="AL12" s="595"/>
      <c r="AM12" s="596"/>
      <c r="AN12" s="394" t="str">
        <f>+IF('Worksheet (2)'!$K26&gt;0,'Worksheet (2)'!$K26,"NO facia")</f>
        <v>NO facia</v>
      </c>
      <c r="AP12" s="392" t="s">
        <v>20</v>
      </c>
      <c r="AQ12" s="393" t="s">
        <v>27</v>
      </c>
      <c r="AR12" s="581"/>
      <c r="AS12" s="581"/>
      <c r="AT12" s="581"/>
      <c r="AU12" s="582"/>
      <c r="AV12" s="420"/>
      <c r="AY12" s="392" t="s">
        <v>20</v>
      </c>
      <c r="AZ12" s="393" t="s">
        <v>27</v>
      </c>
      <c r="BA12" s="594" t="s">
        <v>28</v>
      </c>
      <c r="BB12" s="595"/>
      <c r="BC12" s="596"/>
      <c r="BD12" s="394" t="str">
        <f>+IF('Worksheet (2)'!$K31&gt;0,'Worksheet (2)'!$K31,"NO facia")</f>
        <v>NO facia</v>
      </c>
      <c r="BF12" s="392" t="s">
        <v>20</v>
      </c>
      <c r="BG12" s="393" t="s">
        <v>27</v>
      </c>
      <c r="BH12" s="581"/>
      <c r="BI12" s="581"/>
      <c r="BJ12" s="581"/>
      <c r="BK12" s="582"/>
      <c r="BL12" s="420"/>
      <c r="BO12" s="392" t="s">
        <v>20</v>
      </c>
      <c r="BP12" s="393" t="s">
        <v>27</v>
      </c>
      <c r="BQ12" s="594" t="s">
        <v>28</v>
      </c>
      <c r="BR12" s="595"/>
      <c r="BS12" s="596"/>
      <c r="BT12" s="394" t="str">
        <f>+IF('Worksheet (2)'!$K36&gt;0,'Worksheet (2)'!$K36,"NO facia")</f>
        <v>NO facia</v>
      </c>
      <c r="BV12" s="392" t="s">
        <v>20</v>
      </c>
      <c r="BW12" s="393" t="s">
        <v>27</v>
      </c>
      <c r="BX12" s="581"/>
      <c r="BY12" s="581"/>
      <c r="BZ12" s="581"/>
      <c r="CA12" s="582"/>
    </row>
    <row r="13" spans="1:79" ht="29.1" customHeight="1" x14ac:dyDescent="0.6">
      <c r="C13" s="395">
        <f>'Worksheet (2)'!$AH16</f>
        <v>-1.375</v>
      </c>
      <c r="D13" s="396">
        <f>ROUND(+F8+12,0)</f>
        <v>12</v>
      </c>
      <c r="E13" s="597" t="s">
        <v>29</v>
      </c>
      <c r="F13" s="598"/>
      <c r="G13" s="599"/>
      <c r="H13" s="394" t="str">
        <f>+IF('Worksheet (2)'!$K16&gt;0,"facia brkts","reg. brkts")</f>
        <v>reg. brkts</v>
      </c>
      <c r="J13" s="395">
        <f>C13</f>
        <v>-1.375</v>
      </c>
      <c r="K13" s="396">
        <f>D13</f>
        <v>12</v>
      </c>
      <c r="L13" s="583"/>
      <c r="M13" s="583"/>
      <c r="N13" s="583"/>
      <c r="O13" s="584"/>
      <c r="P13" s="420"/>
      <c r="S13" s="395">
        <f>'Worksheet (2)'!$AH21</f>
        <v>-1.375</v>
      </c>
      <c r="T13" s="396">
        <f>ROUND(+V8+12,0)</f>
        <v>12</v>
      </c>
      <c r="U13" s="597" t="s">
        <v>29</v>
      </c>
      <c r="V13" s="598"/>
      <c r="W13" s="599"/>
      <c r="X13" s="394" t="str">
        <f>+IF('Worksheet (2)'!$K21&gt;0,"facia brkts","reg. brkts")</f>
        <v>reg. brkts</v>
      </c>
      <c r="Z13" s="395">
        <f>S13</f>
        <v>-1.375</v>
      </c>
      <c r="AA13" s="396">
        <f>T13</f>
        <v>12</v>
      </c>
      <c r="AB13" s="583"/>
      <c r="AC13" s="583"/>
      <c r="AD13" s="583"/>
      <c r="AE13" s="584"/>
      <c r="AF13" s="420"/>
      <c r="AG13" s="352" t="s">
        <v>81</v>
      </c>
      <c r="AI13" s="395">
        <f>'Worksheet (2)'!$AH26</f>
        <v>-1.375</v>
      </c>
      <c r="AJ13" s="396">
        <f>ROUND(+AL8+12,0)</f>
        <v>12</v>
      </c>
      <c r="AK13" s="597" t="s">
        <v>29</v>
      </c>
      <c r="AL13" s="598"/>
      <c r="AM13" s="599"/>
      <c r="AN13" s="394" t="str">
        <f>+IF('Worksheet (2)'!$K26&gt;0,"facia brkts","reg. brkts")</f>
        <v>reg. brkts</v>
      </c>
      <c r="AP13" s="395">
        <f>AI13</f>
        <v>-1.375</v>
      </c>
      <c r="AQ13" s="396">
        <f>AJ13</f>
        <v>12</v>
      </c>
      <c r="AR13" s="583"/>
      <c r="AS13" s="583"/>
      <c r="AT13" s="583"/>
      <c r="AU13" s="584"/>
      <c r="AV13" s="420"/>
      <c r="AY13" s="395">
        <f>'Worksheet (2)'!$AH31</f>
        <v>-1.375</v>
      </c>
      <c r="AZ13" s="396">
        <f>ROUND(+BB8+12,0)</f>
        <v>12</v>
      </c>
      <c r="BA13" s="597" t="s">
        <v>29</v>
      </c>
      <c r="BB13" s="598"/>
      <c r="BC13" s="599"/>
      <c r="BD13" s="394" t="str">
        <f>+IF('Worksheet (2)'!$K31&gt;0,"facia brkts","reg. brkts")</f>
        <v>reg. brkts</v>
      </c>
      <c r="BF13" s="395">
        <f>AY13</f>
        <v>-1.375</v>
      </c>
      <c r="BG13" s="396">
        <f>AZ13</f>
        <v>12</v>
      </c>
      <c r="BH13" s="583"/>
      <c r="BI13" s="583"/>
      <c r="BJ13" s="583"/>
      <c r="BK13" s="584"/>
      <c r="BL13" s="420"/>
      <c r="BO13" s="395">
        <f>'Worksheet (2)'!$AH36</f>
        <v>-1.375</v>
      </c>
      <c r="BP13" s="396">
        <f>ROUND(+BR8+12,0)</f>
        <v>12</v>
      </c>
      <c r="BQ13" s="597" t="s">
        <v>29</v>
      </c>
      <c r="BR13" s="598"/>
      <c r="BS13" s="599"/>
      <c r="BT13" s="394" t="str">
        <f>+IF('Worksheet (2)'!$K36&gt;0,"facia brkts","reg. brkts")</f>
        <v>reg. brkts</v>
      </c>
      <c r="BV13" s="395">
        <f>BO13</f>
        <v>-1.375</v>
      </c>
      <c r="BW13" s="396">
        <f>BP13</f>
        <v>12</v>
      </c>
      <c r="BX13" s="583"/>
      <c r="BY13" s="583"/>
      <c r="BZ13" s="583"/>
      <c r="CA13" s="584"/>
    </row>
    <row r="14" spans="1:79" ht="30" customHeight="1" thickBot="1" x14ac:dyDescent="0.65">
      <c r="C14" s="397"/>
      <c r="D14" s="398" t="str">
        <f>+IF($C8&gt;0,"ROLLERSHADE","do not use")</f>
        <v>do not use</v>
      </c>
      <c r="E14" s="399"/>
      <c r="F14" s="399"/>
      <c r="G14" s="399"/>
      <c r="H14" s="400"/>
      <c r="J14" s="401"/>
      <c r="K14" s="398" t="str">
        <f>+IF(C8&gt;0,"TUBE SIZE","do not use")</f>
        <v>do not use</v>
      </c>
      <c r="L14" s="399"/>
      <c r="M14" s="408" t="str">
        <f>IF(K14="TUBE SIZE",C8,IF('Worksheet (2)'!E16="Fabric ONLY","Fabric ONLY"," "))</f>
        <v xml:space="preserve"> </v>
      </c>
      <c r="N14" s="399"/>
      <c r="O14" s="400"/>
      <c r="P14" s="384"/>
      <c r="S14" s="397"/>
      <c r="T14" s="398" t="str">
        <f>+IF($T8&gt;0,"ROLLERSHADE","do not use")</f>
        <v>do not use</v>
      </c>
      <c r="U14" s="399"/>
      <c r="V14" s="399"/>
      <c r="W14" s="399"/>
      <c r="X14" s="400"/>
      <c r="Z14" s="401"/>
      <c r="AA14" s="398" t="str">
        <f>+IF(S8&gt;0,"TUBE SIZE","do not use")</f>
        <v>do not use</v>
      </c>
      <c r="AB14" s="399"/>
      <c r="AC14" s="408" t="str">
        <f>IF(AA14="TUBE SIZE",S8,IF('Worksheet (2)'!U16="Fabric ONLY","Fabric ONLY"," "))</f>
        <v xml:space="preserve"> </v>
      </c>
      <c r="AD14" s="399"/>
      <c r="AE14" s="400"/>
      <c r="AF14" s="384"/>
      <c r="AI14" s="397"/>
      <c r="AJ14" s="398" t="str">
        <f>+IF($AI8&gt;0,"ROLLERSHADE","do not use")</f>
        <v>do not use</v>
      </c>
      <c r="AK14" s="399"/>
      <c r="AL14" s="399"/>
      <c r="AM14" s="399"/>
      <c r="AN14" s="400"/>
      <c r="AP14" s="401"/>
      <c r="AQ14" s="398" t="str">
        <f>+IF(AI8&gt;0,"TUBE SIZE","do not use")</f>
        <v>do not use</v>
      </c>
      <c r="AR14" s="399"/>
      <c r="AS14" s="408" t="str">
        <f>IF(AQ14="TUBE SIZE",AI8,IF('Worksheet (2)'!AR16="Fabric ONLY","Fabric ONLY"," "))</f>
        <v xml:space="preserve"> </v>
      </c>
      <c r="AT14" s="399"/>
      <c r="AU14" s="400"/>
      <c r="AV14" s="384"/>
      <c r="AY14" s="397"/>
      <c r="AZ14" s="398" t="str">
        <f>+IF($AY8&gt;0,"ROLLERSHADE","do not use")</f>
        <v>do not use</v>
      </c>
      <c r="BA14" s="399"/>
      <c r="BB14" s="399"/>
      <c r="BC14" s="399"/>
      <c r="BD14" s="400"/>
      <c r="BF14" s="401"/>
      <c r="BG14" s="398" t="str">
        <f>+IF(AY8&gt;0,"TUBE SIZE","do not use")</f>
        <v>do not use</v>
      </c>
      <c r="BH14" s="399"/>
      <c r="BI14" s="408" t="str">
        <f>IF(BG14="TUBE SIZE",AY8,IF('Worksheet (2)'!BH16="Fabric ONLY","Fabric ONLY"," "))</f>
        <v xml:space="preserve"> </v>
      </c>
      <c r="BJ14" s="399"/>
      <c r="BK14" s="400"/>
      <c r="BL14" s="384"/>
      <c r="BO14" s="397"/>
      <c r="BP14" s="398" t="str">
        <f>+IF($BO8&gt;0,"ROLLERSHADE","do not use")</f>
        <v>do not use</v>
      </c>
      <c r="BQ14" s="399"/>
      <c r="BR14" s="399"/>
      <c r="BS14" s="399"/>
      <c r="BT14" s="400"/>
      <c r="BV14" s="401"/>
      <c r="BW14" s="398" t="str">
        <f>+IF(BO8&gt;0,"TUBE SIZE","do not use")</f>
        <v>do not use</v>
      </c>
      <c r="BX14" s="399"/>
      <c r="BY14" s="408" t="str">
        <f>IF(BW14="TUBE SIZE",BO8,IF('Worksheet (2)'!BX16="Fabric ONLY","Fabric ONLY"," "))</f>
        <v xml:space="preserve"> </v>
      </c>
      <c r="BZ14" s="399"/>
      <c r="CA14" s="400"/>
    </row>
    <row r="15" spans="1:79" ht="51.75" customHeight="1" thickBot="1" x14ac:dyDescent="0.65">
      <c r="C15" s="402"/>
      <c r="D15" s="403"/>
      <c r="J15" s="402"/>
      <c r="K15" s="403"/>
      <c r="S15" s="404"/>
      <c r="T15" s="405"/>
      <c r="U15" s="384"/>
      <c r="V15" s="384"/>
      <c r="W15" s="384"/>
      <c r="X15" s="384"/>
      <c r="Z15" s="402"/>
      <c r="AA15" s="403"/>
      <c r="AI15" s="404"/>
      <c r="AJ15" s="405"/>
      <c r="AK15" s="384"/>
      <c r="AL15" s="384"/>
      <c r="AM15" s="384"/>
      <c r="AN15" s="384"/>
      <c r="AP15" s="402"/>
      <c r="AQ15" s="403"/>
      <c r="AY15" s="404"/>
      <c r="AZ15" s="405"/>
      <c r="BA15" s="384"/>
      <c r="BB15" s="384"/>
      <c r="BC15" s="384"/>
      <c r="BD15" s="384"/>
      <c r="BF15" s="402"/>
      <c r="BG15" s="403"/>
      <c r="BO15" s="404"/>
      <c r="BP15" s="405"/>
      <c r="BQ15" s="384"/>
      <c r="BR15" s="384"/>
      <c r="BS15" s="384"/>
      <c r="BT15" s="384"/>
      <c r="BV15" s="402"/>
      <c r="BW15" s="403"/>
    </row>
    <row r="16" spans="1:79" ht="20.100000000000001" customHeight="1" thickBot="1" x14ac:dyDescent="0.7">
      <c r="A16" s="352" t="s">
        <v>2481</v>
      </c>
      <c r="B16" s="352" t="s">
        <v>2480</v>
      </c>
      <c r="C16" s="359" t="s">
        <v>21</v>
      </c>
      <c r="D16" s="564">
        <f>+jobnumber</f>
        <v>33303</v>
      </c>
      <c r="E16" s="565"/>
      <c r="F16" s="565"/>
      <c r="G16" s="566"/>
      <c r="H16" s="567" t="str">
        <f>+'Worksheet (2)'!$B17</f>
        <v>P2-RS2</v>
      </c>
      <c r="J16" s="359" t="s">
        <v>21</v>
      </c>
      <c r="K16" s="360">
        <f>+jobnumber</f>
        <v>33303</v>
      </c>
      <c r="L16" s="361"/>
      <c r="M16" s="361"/>
      <c r="N16" s="361"/>
      <c r="O16" s="567" t="str">
        <f>+H16</f>
        <v>P2-RS2</v>
      </c>
      <c r="P16" s="362"/>
      <c r="Q16" s="352" t="s">
        <v>54</v>
      </c>
      <c r="R16" s="352" t="s">
        <v>2487</v>
      </c>
      <c r="S16" s="359" t="s">
        <v>21</v>
      </c>
      <c r="T16" s="564">
        <f>+jobnumber</f>
        <v>33303</v>
      </c>
      <c r="U16" s="565"/>
      <c r="V16" s="565"/>
      <c r="W16" s="566"/>
      <c r="X16" s="567" t="str">
        <f>+'Worksheet (2)'!$B22</f>
        <v>P2-RS7</v>
      </c>
      <c r="Z16" s="359" t="s">
        <v>21</v>
      </c>
      <c r="AA16" s="360">
        <f>+jobnumber</f>
        <v>33303</v>
      </c>
      <c r="AB16" s="361"/>
      <c r="AC16" s="361"/>
      <c r="AD16" s="361"/>
      <c r="AE16" s="567" t="str">
        <f>+X16</f>
        <v>P2-RS7</v>
      </c>
      <c r="AF16" s="362"/>
      <c r="AG16" s="352" t="s">
        <v>60</v>
      </c>
      <c r="AH16" s="352" t="s">
        <v>2492</v>
      </c>
      <c r="AI16" s="359" t="s">
        <v>21</v>
      </c>
      <c r="AJ16" s="564">
        <f>+jobnumber</f>
        <v>33303</v>
      </c>
      <c r="AK16" s="565"/>
      <c r="AL16" s="565"/>
      <c r="AM16" s="566"/>
      <c r="AN16" s="567" t="str">
        <f>+'Worksheet (2)'!$B27</f>
        <v>P2-RS12</v>
      </c>
      <c r="AP16" s="359" t="s">
        <v>21</v>
      </c>
      <c r="AQ16" s="360">
        <f>+jobnumber</f>
        <v>33303</v>
      </c>
      <c r="AR16" s="361"/>
      <c r="AS16" s="361"/>
      <c r="AT16" s="361"/>
      <c r="AU16" s="567" t="str">
        <f>+AN16</f>
        <v>P2-RS12</v>
      </c>
      <c r="AV16" s="362"/>
      <c r="AW16" s="352" t="s">
        <v>65</v>
      </c>
      <c r="AX16" s="352" t="s">
        <v>2497</v>
      </c>
      <c r="AY16" s="359" t="s">
        <v>21</v>
      </c>
      <c r="AZ16" s="564">
        <f>+jobnumber</f>
        <v>33303</v>
      </c>
      <c r="BA16" s="565"/>
      <c r="BB16" s="565"/>
      <c r="BC16" s="566"/>
      <c r="BD16" s="567" t="str">
        <f>+'Worksheet (2)'!$B32</f>
        <v>P2-RS17</v>
      </c>
      <c r="BF16" s="359" t="s">
        <v>21</v>
      </c>
      <c r="BG16" s="360">
        <f>+jobnumber</f>
        <v>33303</v>
      </c>
      <c r="BH16" s="361"/>
      <c r="BI16" s="361"/>
      <c r="BJ16" s="361"/>
      <c r="BK16" s="567" t="str">
        <f>+BD16</f>
        <v>P2-RS17</v>
      </c>
      <c r="BL16" s="362"/>
      <c r="BM16" s="352" t="s">
        <v>178</v>
      </c>
      <c r="BN16" s="352" t="s">
        <v>2502</v>
      </c>
      <c r="BO16" s="359" t="s">
        <v>21</v>
      </c>
      <c r="BP16" s="564">
        <f>+jobnumber</f>
        <v>33303</v>
      </c>
      <c r="BQ16" s="565"/>
      <c r="BR16" s="565"/>
      <c r="BS16" s="566"/>
      <c r="BT16" s="567" t="str">
        <f>+'Worksheet (2)'!$B37</f>
        <v>P2-RS22</v>
      </c>
      <c r="BV16" s="359" t="s">
        <v>21</v>
      </c>
      <c r="BW16" s="360">
        <f>+jobnumber</f>
        <v>33303</v>
      </c>
      <c r="BX16" s="361"/>
      <c r="BY16" s="361"/>
      <c r="BZ16" s="361"/>
      <c r="CA16" s="567" t="str">
        <f>+BT16</f>
        <v>P2-RS22</v>
      </c>
    </row>
    <row r="17" spans="1:79" s="364" customFormat="1" ht="20.100000000000001" customHeight="1" thickBot="1" x14ac:dyDescent="0.7">
      <c r="A17" s="352"/>
      <c r="B17" s="352"/>
      <c r="C17" s="363" t="s">
        <v>2626</v>
      </c>
      <c r="D17" s="569" t="str">
        <f>+_xlfn.SINGLE(bill_name)</f>
        <v>JLL</v>
      </c>
      <c r="E17" s="570"/>
      <c r="F17" s="570"/>
      <c r="G17" s="571"/>
      <c r="H17" s="568"/>
      <c r="J17" s="365" t="s">
        <v>22</v>
      </c>
      <c r="K17" s="366" t="str">
        <f>+_xlfn.SINGLE(bill_name)</f>
        <v>JLL</v>
      </c>
      <c r="L17" s="367"/>
      <c r="M17" s="367"/>
      <c r="N17" s="367"/>
      <c r="O17" s="568"/>
      <c r="P17" s="362"/>
      <c r="Q17" s="352"/>
      <c r="R17" s="352"/>
      <c r="S17" s="363" t="s">
        <v>2626</v>
      </c>
      <c r="T17" s="569" t="str">
        <f>+_xlfn.SINGLE(bill_name)</f>
        <v>JLL</v>
      </c>
      <c r="U17" s="570"/>
      <c r="V17" s="570"/>
      <c r="W17" s="571"/>
      <c r="X17" s="568"/>
      <c r="Z17" s="365" t="s">
        <v>22</v>
      </c>
      <c r="AA17" s="366" t="str">
        <f>+_xlfn.SINGLE(bill_name)</f>
        <v>JLL</v>
      </c>
      <c r="AB17" s="367"/>
      <c r="AC17" s="367"/>
      <c r="AD17" s="367"/>
      <c r="AE17" s="568"/>
      <c r="AF17" s="362"/>
      <c r="AG17" s="352"/>
      <c r="AH17" s="352"/>
      <c r="AI17" s="363" t="s">
        <v>2626</v>
      </c>
      <c r="AJ17" s="569" t="str">
        <f>+_xlfn.SINGLE(bill_name)</f>
        <v>JLL</v>
      </c>
      <c r="AK17" s="570"/>
      <c r="AL17" s="570"/>
      <c r="AM17" s="571"/>
      <c r="AN17" s="568"/>
      <c r="AP17" s="365" t="s">
        <v>22</v>
      </c>
      <c r="AQ17" s="366" t="str">
        <f>+_xlfn.SINGLE(bill_name)</f>
        <v>JLL</v>
      </c>
      <c r="AR17" s="367"/>
      <c r="AS17" s="367"/>
      <c r="AT17" s="367"/>
      <c r="AU17" s="568"/>
      <c r="AV17" s="362"/>
      <c r="AW17" s="352"/>
      <c r="AX17" s="352"/>
      <c r="AY17" s="363" t="s">
        <v>2626</v>
      </c>
      <c r="AZ17" s="569" t="str">
        <f>+_xlfn.SINGLE(bill_name)</f>
        <v>JLL</v>
      </c>
      <c r="BA17" s="570"/>
      <c r="BB17" s="570"/>
      <c r="BC17" s="571"/>
      <c r="BD17" s="568"/>
      <c r="BF17" s="365" t="s">
        <v>22</v>
      </c>
      <c r="BG17" s="366" t="str">
        <f>+_xlfn.SINGLE(bill_name)</f>
        <v>JLL</v>
      </c>
      <c r="BH17" s="367"/>
      <c r="BI17" s="367"/>
      <c r="BJ17" s="367"/>
      <c r="BK17" s="568"/>
      <c r="BL17" s="362"/>
      <c r="BM17" s="352"/>
      <c r="BN17" s="352"/>
      <c r="BO17" s="363" t="s">
        <v>2626</v>
      </c>
      <c r="BP17" s="569" t="str">
        <f>+_xlfn.SINGLE(bill_name)</f>
        <v>JLL</v>
      </c>
      <c r="BQ17" s="570"/>
      <c r="BR17" s="570"/>
      <c r="BS17" s="571"/>
      <c r="BT17" s="568"/>
      <c r="BV17" s="365" t="s">
        <v>22</v>
      </c>
      <c r="BW17" s="366" t="str">
        <f>+_xlfn.SINGLE(bill_name)</f>
        <v>JLL</v>
      </c>
      <c r="BX17" s="367"/>
      <c r="BY17" s="367"/>
      <c r="BZ17" s="367"/>
      <c r="CA17" s="568"/>
    </row>
    <row r="18" spans="1:79" s="364" customFormat="1" ht="20.100000000000001" customHeight="1" x14ac:dyDescent="0.4">
      <c r="A18" s="352"/>
      <c r="B18" s="352"/>
      <c r="C18" s="368" t="s">
        <v>2627</v>
      </c>
      <c r="D18" s="572" t="str">
        <f>+jobname</f>
        <v>Cottonwood Creek WO#I5187109-00104</v>
      </c>
      <c r="E18" s="573"/>
      <c r="F18" s="573"/>
      <c r="G18" s="573"/>
      <c r="H18" s="574"/>
      <c r="J18" s="369" t="s">
        <v>78</v>
      </c>
      <c r="K18" s="370" t="str">
        <f>+jobname</f>
        <v>Cottonwood Creek WO#I5187109-00104</v>
      </c>
      <c r="L18" s="371"/>
      <c r="M18" s="371"/>
      <c r="N18" s="371"/>
      <c r="O18" s="372"/>
      <c r="P18" s="373"/>
      <c r="Q18" s="352"/>
      <c r="R18" s="352"/>
      <c r="S18" s="368" t="s">
        <v>2627</v>
      </c>
      <c r="T18" s="572" t="str">
        <f>+jobname</f>
        <v>Cottonwood Creek WO#I5187109-00104</v>
      </c>
      <c r="U18" s="573"/>
      <c r="V18" s="573"/>
      <c r="W18" s="573"/>
      <c r="X18" s="574"/>
      <c r="Z18" s="369" t="s">
        <v>78</v>
      </c>
      <c r="AA18" s="370" t="str">
        <f>+jobname</f>
        <v>Cottonwood Creek WO#I5187109-00104</v>
      </c>
      <c r="AB18" s="371"/>
      <c r="AC18" s="371"/>
      <c r="AD18" s="371"/>
      <c r="AE18" s="372"/>
      <c r="AF18" s="373"/>
      <c r="AG18" s="352"/>
      <c r="AH18" s="352"/>
      <c r="AI18" s="368" t="s">
        <v>2627</v>
      </c>
      <c r="AJ18" s="572" t="str">
        <f>+jobname</f>
        <v>Cottonwood Creek WO#I5187109-00104</v>
      </c>
      <c r="AK18" s="573"/>
      <c r="AL18" s="573"/>
      <c r="AM18" s="573"/>
      <c r="AN18" s="574"/>
      <c r="AP18" s="369" t="s">
        <v>78</v>
      </c>
      <c r="AQ18" s="370" t="str">
        <f>+jobname</f>
        <v>Cottonwood Creek WO#I5187109-00104</v>
      </c>
      <c r="AR18" s="371"/>
      <c r="AS18" s="371"/>
      <c r="AT18" s="371"/>
      <c r="AU18" s="372"/>
      <c r="AV18" s="373"/>
      <c r="AW18" s="352"/>
      <c r="AX18" s="352"/>
      <c r="AY18" s="368" t="s">
        <v>2627</v>
      </c>
      <c r="AZ18" s="572" t="str">
        <f>+jobname</f>
        <v>Cottonwood Creek WO#I5187109-00104</v>
      </c>
      <c r="BA18" s="573"/>
      <c r="BB18" s="573"/>
      <c r="BC18" s="573"/>
      <c r="BD18" s="574"/>
      <c r="BF18" s="369" t="s">
        <v>78</v>
      </c>
      <c r="BG18" s="370" t="str">
        <f>+jobname</f>
        <v>Cottonwood Creek WO#I5187109-00104</v>
      </c>
      <c r="BH18" s="371"/>
      <c r="BI18" s="371"/>
      <c r="BJ18" s="371"/>
      <c r="BK18" s="372"/>
      <c r="BL18" s="373"/>
      <c r="BM18" s="352"/>
      <c r="BN18" s="352"/>
      <c r="BO18" s="368" t="s">
        <v>2627</v>
      </c>
      <c r="BP18" s="572" t="str">
        <f>+jobname</f>
        <v>Cottonwood Creek WO#I5187109-00104</v>
      </c>
      <c r="BQ18" s="573"/>
      <c r="BR18" s="573"/>
      <c r="BS18" s="573"/>
      <c r="BT18" s="574"/>
      <c r="BV18" s="369" t="s">
        <v>78</v>
      </c>
      <c r="BW18" s="370" t="str">
        <f>+jobname</f>
        <v>Cottonwood Creek WO#I5187109-00104</v>
      </c>
      <c r="BX18" s="371"/>
      <c r="BY18" s="371"/>
      <c r="BZ18" s="371"/>
      <c r="CA18" s="372"/>
    </row>
    <row r="19" spans="1:79" s="364" customFormat="1" ht="20.100000000000001" customHeight="1" x14ac:dyDescent="0.35">
      <c r="A19" s="352" t="s">
        <v>81</v>
      </c>
      <c r="B19" s="352"/>
      <c r="C19" s="374" t="s">
        <v>23</v>
      </c>
      <c r="D19" s="575">
        <f>+'Worksheet (2)'!$C17</f>
        <v>0</v>
      </c>
      <c r="E19" s="576"/>
      <c r="F19" s="576"/>
      <c r="G19" s="371"/>
      <c r="H19" s="375" t="str">
        <f>+IF('Worksheet (2)'!$O$9=1,"Install",IF('Worksheet (2)'!$O$9=2,"Deliver",IF('Worksheet (2)'!$O$9=3,"Will Call",0)))</f>
        <v>Install</v>
      </c>
      <c r="J19" s="374" t="s">
        <v>23</v>
      </c>
      <c r="K19" s="373">
        <f>D19</f>
        <v>0</v>
      </c>
      <c r="L19" s="371"/>
      <c r="M19" s="371"/>
      <c r="N19" s="371"/>
      <c r="O19" s="376" t="str">
        <f>H19</f>
        <v>Install</v>
      </c>
      <c r="P19" s="373"/>
      <c r="Q19" s="352"/>
      <c r="R19" s="352"/>
      <c r="S19" s="374" t="s">
        <v>23</v>
      </c>
      <c r="T19" s="575">
        <f>+'Worksheet (2)'!$C22</f>
        <v>0</v>
      </c>
      <c r="U19" s="576"/>
      <c r="V19" s="576"/>
      <c r="W19" s="371"/>
      <c r="X19" s="375" t="str">
        <f>+IF('Worksheet (2)'!$O$9=1,"Install",IF('Worksheet (2)'!$O$9=2,"Deliver",IF('Worksheet (2)'!$O$9=3,"Will Call",0)))</f>
        <v>Install</v>
      </c>
      <c r="Z19" s="374" t="s">
        <v>23</v>
      </c>
      <c r="AA19" s="373">
        <f>T19</f>
        <v>0</v>
      </c>
      <c r="AB19" s="371"/>
      <c r="AC19" s="371"/>
      <c r="AD19" s="371"/>
      <c r="AE19" s="376" t="str">
        <f>X19</f>
        <v>Install</v>
      </c>
      <c r="AF19" s="373"/>
      <c r="AG19" s="352"/>
      <c r="AH19" s="352"/>
      <c r="AI19" s="374" t="s">
        <v>23</v>
      </c>
      <c r="AJ19" s="575">
        <f>+'Worksheet (2)'!$C27</f>
        <v>0</v>
      </c>
      <c r="AK19" s="576"/>
      <c r="AL19" s="576"/>
      <c r="AM19" s="371"/>
      <c r="AN19" s="375" t="str">
        <f>+IF('Worksheet (2)'!$O$9=1,"Install",IF('Worksheet (2)'!$O$9=2,"Deliver",IF('Worksheet (2)'!$O$9=3,"Will Call",0)))</f>
        <v>Install</v>
      </c>
      <c r="AP19" s="374" t="s">
        <v>23</v>
      </c>
      <c r="AQ19" s="373">
        <f>AJ19</f>
        <v>0</v>
      </c>
      <c r="AR19" s="371"/>
      <c r="AS19" s="371"/>
      <c r="AT19" s="371"/>
      <c r="AU19" s="376" t="str">
        <f>AN19</f>
        <v>Install</v>
      </c>
      <c r="AV19" s="373"/>
      <c r="AW19" s="352"/>
      <c r="AX19" s="352"/>
      <c r="AY19" s="374" t="s">
        <v>23</v>
      </c>
      <c r="AZ19" s="575">
        <f>+'Worksheet (2)'!$C32</f>
        <v>0</v>
      </c>
      <c r="BA19" s="576"/>
      <c r="BB19" s="576"/>
      <c r="BC19" s="371"/>
      <c r="BD19" s="375" t="str">
        <f>+IF('Worksheet (2)'!$O$9=1,"Install",IF('Worksheet (2)'!$O$9=2,"Deliver",IF('Worksheet (2)'!$O$9=3,"Will Call",0)))</f>
        <v>Install</v>
      </c>
      <c r="BF19" s="374" t="s">
        <v>23</v>
      </c>
      <c r="BG19" s="373">
        <f>AZ19</f>
        <v>0</v>
      </c>
      <c r="BH19" s="371"/>
      <c r="BI19" s="371"/>
      <c r="BJ19" s="371"/>
      <c r="BK19" s="376" t="str">
        <f>BD19</f>
        <v>Install</v>
      </c>
      <c r="BL19" s="373"/>
      <c r="BM19" s="352"/>
      <c r="BN19" s="352"/>
      <c r="BO19" s="374" t="s">
        <v>23</v>
      </c>
      <c r="BP19" s="575">
        <f>+'Worksheet (2)'!$C37</f>
        <v>0</v>
      </c>
      <c r="BQ19" s="576"/>
      <c r="BR19" s="576"/>
      <c r="BS19" s="371"/>
      <c r="BT19" s="375" t="str">
        <f>+IF('Worksheet (2)'!$O$9=1,"Install",IF('Worksheet (2)'!$O$9=2,"Deliver",IF('Worksheet (2)'!$O$9=3,"Will Call",0)))</f>
        <v>Install</v>
      </c>
      <c r="BV19" s="374" t="s">
        <v>23</v>
      </c>
      <c r="BW19" s="373">
        <f>BP19</f>
        <v>0</v>
      </c>
      <c r="BX19" s="371"/>
      <c r="BY19" s="371"/>
      <c r="BZ19" s="371"/>
      <c r="CA19" s="376" t="str">
        <f>BT19</f>
        <v>Install</v>
      </c>
    </row>
    <row r="20" spans="1:79" s="364" customFormat="1" ht="20.100000000000001" customHeight="1" x14ac:dyDescent="0.35">
      <c r="A20" s="352"/>
      <c r="B20" s="352"/>
      <c r="C20" s="377">
        <f>+IF('Worksheet (2)'!$D17&gt;0,'Worksheet (2)'!$E17,0)</f>
        <v>0</v>
      </c>
      <c r="D20" s="378">
        <f>+'Worksheet (2)'!$F17</f>
        <v>0</v>
      </c>
      <c r="E20" s="379" t="s">
        <v>4</v>
      </c>
      <c r="F20" s="378">
        <f>+'Worksheet (2)'!$H17</f>
        <v>0</v>
      </c>
      <c r="G20" s="380"/>
      <c r="H20" s="381">
        <f>+'Worksheet (2)'!$I17</f>
        <v>0</v>
      </c>
      <c r="J20" s="377"/>
      <c r="N20" s="380"/>
      <c r="O20" s="381">
        <f>H20</f>
        <v>0</v>
      </c>
      <c r="P20" s="382"/>
      <c r="Q20" s="352"/>
      <c r="R20" s="352"/>
      <c r="S20" s="377">
        <f>+IF('Worksheet (2)'!$D22&gt;0,'Worksheet (2)'!$E22,0)</f>
        <v>0</v>
      </c>
      <c r="T20" s="378">
        <f>+'Worksheet (2)'!$F22</f>
        <v>0</v>
      </c>
      <c r="U20" s="379" t="s">
        <v>4</v>
      </c>
      <c r="V20" s="378">
        <f>+'Worksheet (2)'!$H22</f>
        <v>0</v>
      </c>
      <c r="W20" s="380"/>
      <c r="X20" s="381">
        <f>+'Worksheet (2)'!$I22</f>
        <v>0</v>
      </c>
      <c r="Z20" s="377"/>
      <c r="AD20" s="380"/>
      <c r="AE20" s="381">
        <f>X20</f>
        <v>0</v>
      </c>
      <c r="AF20" s="382"/>
      <c r="AG20" s="352"/>
      <c r="AH20" s="352"/>
      <c r="AI20" s="377">
        <f>+IF('Worksheet (2)'!$D27&gt;0,'Worksheet (2)'!$E27,0)</f>
        <v>0</v>
      </c>
      <c r="AJ20" s="378">
        <f>+'Worksheet (2)'!$F27</f>
        <v>0</v>
      </c>
      <c r="AK20" s="379" t="s">
        <v>4</v>
      </c>
      <c r="AL20" s="378">
        <f>+'Worksheet (2)'!$H27</f>
        <v>0</v>
      </c>
      <c r="AM20" s="380"/>
      <c r="AN20" s="381">
        <f>+'Worksheet (2)'!$I27</f>
        <v>0</v>
      </c>
      <c r="AP20" s="377"/>
      <c r="AT20" s="380"/>
      <c r="AU20" s="381">
        <f>AN20</f>
        <v>0</v>
      </c>
      <c r="AV20" s="382"/>
      <c r="AW20" s="352"/>
      <c r="AX20" s="352"/>
      <c r="AY20" s="377">
        <f>+IF('Worksheet (2)'!$D32&gt;0,'Worksheet (2)'!$E32,0)</f>
        <v>0</v>
      </c>
      <c r="AZ20" s="378">
        <f>+'Worksheet (2)'!$F32</f>
        <v>0</v>
      </c>
      <c r="BA20" s="379" t="s">
        <v>4</v>
      </c>
      <c r="BB20" s="378">
        <f>+'Worksheet (2)'!$H32</f>
        <v>0</v>
      </c>
      <c r="BC20" s="380"/>
      <c r="BD20" s="381">
        <f>+'Worksheet (2)'!$I32</f>
        <v>0</v>
      </c>
      <c r="BF20" s="377"/>
      <c r="BJ20" s="380"/>
      <c r="BK20" s="381">
        <f>BD20</f>
        <v>0</v>
      </c>
      <c r="BL20" s="382"/>
      <c r="BM20" s="352"/>
      <c r="BN20" s="352"/>
      <c r="BO20" s="377">
        <f>+IF('Worksheet (2)'!$D37&gt;0,'Worksheet (2)'!$E37,0)</f>
        <v>0</v>
      </c>
      <c r="BP20" s="378">
        <f>+'Worksheet (2)'!$F37</f>
        <v>0</v>
      </c>
      <c r="BQ20" s="379" t="s">
        <v>4</v>
      </c>
      <c r="BR20" s="378">
        <f>+'Worksheet (2)'!$H37</f>
        <v>0</v>
      </c>
      <c r="BS20" s="380"/>
      <c r="BT20" s="381">
        <f>+'Worksheet (2)'!$I37</f>
        <v>0</v>
      </c>
      <c r="BV20" s="377"/>
      <c r="BZ20" s="380"/>
      <c r="CA20" s="381">
        <f>BT20</f>
        <v>0</v>
      </c>
    </row>
    <row r="21" spans="1:79" ht="20.100000000000001" customHeight="1" x14ac:dyDescent="0.35">
      <c r="C21" s="383" t="s">
        <v>19</v>
      </c>
      <c r="D21" s="592">
        <f>+'Worksheet (2)'!$M17</f>
        <v>0</v>
      </c>
      <c r="E21" s="593"/>
      <c r="F21" s="593"/>
      <c r="G21" s="384"/>
      <c r="H21" s="385"/>
      <c r="J21" s="374" t="s">
        <v>2594</v>
      </c>
      <c r="K21" s="378">
        <f>D20</f>
        <v>0</v>
      </c>
      <c r="L21" s="378" t="str">
        <f>+E20</f>
        <v>X</v>
      </c>
      <c r="M21" s="378">
        <f>F20</f>
        <v>0</v>
      </c>
      <c r="N21" s="384"/>
      <c r="O21" s="385"/>
      <c r="P21" s="384"/>
      <c r="S21" s="383" t="s">
        <v>19</v>
      </c>
      <c r="T21" s="592">
        <f>+'Worksheet (2)'!$M22</f>
        <v>0</v>
      </c>
      <c r="U21" s="593"/>
      <c r="V21" s="593"/>
      <c r="W21" s="384"/>
      <c r="X21" s="385"/>
      <c r="Z21" s="374" t="s">
        <v>2594</v>
      </c>
      <c r="AA21" s="378">
        <f>T20</f>
        <v>0</v>
      </c>
      <c r="AB21" s="378" t="str">
        <f>+U20</f>
        <v>X</v>
      </c>
      <c r="AC21" s="378">
        <f>V20</f>
        <v>0</v>
      </c>
      <c r="AD21" s="384"/>
      <c r="AE21" s="385"/>
      <c r="AF21" s="384"/>
      <c r="AI21" s="383" t="s">
        <v>19</v>
      </c>
      <c r="AJ21" s="592">
        <f>+'Worksheet (2)'!$M27</f>
        <v>0</v>
      </c>
      <c r="AK21" s="593"/>
      <c r="AL21" s="593"/>
      <c r="AM21" s="384"/>
      <c r="AN21" s="385"/>
      <c r="AP21" s="374" t="s">
        <v>2594</v>
      </c>
      <c r="AQ21" s="378">
        <f>AJ20</f>
        <v>0</v>
      </c>
      <c r="AR21" s="378" t="str">
        <f>+AK20</f>
        <v>X</v>
      </c>
      <c r="AS21" s="378">
        <f>AL20</f>
        <v>0</v>
      </c>
      <c r="AT21" s="384"/>
      <c r="AU21" s="385"/>
      <c r="AV21" s="384"/>
      <c r="AY21" s="383" t="s">
        <v>19</v>
      </c>
      <c r="AZ21" s="592">
        <f>+'Worksheet (2)'!$M32</f>
        <v>0</v>
      </c>
      <c r="BA21" s="593"/>
      <c r="BB21" s="593"/>
      <c r="BC21" s="384"/>
      <c r="BD21" s="385"/>
      <c r="BF21" s="374" t="s">
        <v>2594</v>
      </c>
      <c r="BG21" s="378">
        <f>AZ20</f>
        <v>0</v>
      </c>
      <c r="BH21" s="378" t="str">
        <f>+BA20</f>
        <v>X</v>
      </c>
      <c r="BI21" s="378">
        <f>BB20</f>
        <v>0</v>
      </c>
      <c r="BJ21" s="384"/>
      <c r="BK21" s="385"/>
      <c r="BL21" s="384"/>
      <c r="BO21" s="383" t="s">
        <v>19</v>
      </c>
      <c r="BP21" s="592">
        <f>+'Worksheet (2)'!$M37</f>
        <v>0</v>
      </c>
      <c r="BQ21" s="593"/>
      <c r="BR21" s="593"/>
      <c r="BS21" s="384"/>
      <c r="BT21" s="385"/>
      <c r="BV21" s="374" t="s">
        <v>2594</v>
      </c>
      <c r="BW21" s="378">
        <f>BP20</f>
        <v>0</v>
      </c>
      <c r="BX21" s="378" t="str">
        <f>+BQ20</f>
        <v>X</v>
      </c>
      <c r="BY21" s="378">
        <f>BR20</f>
        <v>0</v>
      </c>
      <c r="BZ21" s="384"/>
      <c r="CA21" s="385"/>
    </row>
    <row r="22" spans="1:79" ht="20.100000000000001" customHeight="1" x14ac:dyDescent="0.35">
      <c r="C22" s="386" t="s">
        <v>24</v>
      </c>
      <c r="D22" s="387">
        <f>+IF('Worksheet (2)'!$O17="V","fabric verticle",IF('Worksheet (2)'!$O17="RR","fabric Railroad",0))</f>
        <v>0</v>
      </c>
      <c r="E22" s="594" t="s">
        <v>25</v>
      </c>
      <c r="F22" s="595"/>
      <c r="G22" s="596"/>
      <c r="H22" s="388" t="str">
        <f>+IF('Worksheet (2)'!$J17&gt;0,'Worksheet (2)'!$J17,"NO")</f>
        <v>NO</v>
      </c>
      <c r="J22" s="377"/>
      <c r="K22" s="389"/>
      <c r="L22" s="580" t="s">
        <v>2593</v>
      </c>
      <c r="M22" s="581"/>
      <c r="N22" s="581"/>
      <c r="O22" s="582"/>
      <c r="P22" s="420"/>
      <c r="S22" s="386" t="s">
        <v>24</v>
      </c>
      <c r="T22" s="387">
        <f>+IF('Worksheet (2)'!$O22="V","fabric verticle",IF('Worksheet (2)'!$O22="RR","fabric Railroad",0))</f>
        <v>0</v>
      </c>
      <c r="U22" s="594" t="s">
        <v>25</v>
      </c>
      <c r="V22" s="595"/>
      <c r="W22" s="596"/>
      <c r="X22" s="388" t="str">
        <f>+IF('Worksheet (2)'!$J22&gt;0,'Worksheet (2)'!$J22,"NO")</f>
        <v>NO</v>
      </c>
      <c r="Z22" s="377"/>
      <c r="AA22" s="389"/>
      <c r="AB22" s="580" t="s">
        <v>2593</v>
      </c>
      <c r="AC22" s="581"/>
      <c r="AD22" s="581"/>
      <c r="AE22" s="582"/>
      <c r="AF22" s="420"/>
      <c r="AI22" s="386" t="s">
        <v>24</v>
      </c>
      <c r="AJ22" s="387">
        <f>+IF('Worksheet (2)'!$O27="V","fabric verticle",IF('Worksheet (2)'!$O27="RR","fabric Railroad",0))</f>
        <v>0</v>
      </c>
      <c r="AK22" s="594" t="s">
        <v>25</v>
      </c>
      <c r="AL22" s="595"/>
      <c r="AM22" s="596"/>
      <c r="AN22" s="388" t="str">
        <f>+IF('Worksheet (2)'!$J27&gt;0,'Worksheet (2)'!$J27,"NO")</f>
        <v>NO</v>
      </c>
      <c r="AP22" s="377"/>
      <c r="AQ22" s="389"/>
      <c r="AR22" s="580" t="s">
        <v>2593</v>
      </c>
      <c r="AS22" s="581"/>
      <c r="AT22" s="581"/>
      <c r="AU22" s="582"/>
      <c r="AV22" s="420"/>
      <c r="AY22" s="386" t="s">
        <v>24</v>
      </c>
      <c r="AZ22" s="387">
        <f>+IF('Worksheet (2)'!$O32="V","fabric verticle",IF('Worksheet (2)'!$O32="RR","fabric Railroad",0))</f>
        <v>0</v>
      </c>
      <c r="BA22" s="594" t="s">
        <v>25</v>
      </c>
      <c r="BB22" s="595"/>
      <c r="BC22" s="596"/>
      <c r="BD22" s="388" t="str">
        <f>+IF('Worksheet (2)'!$J32&gt;0,'Worksheet (2)'!$J32,"NO")</f>
        <v>NO</v>
      </c>
      <c r="BF22" s="377"/>
      <c r="BG22" s="389"/>
      <c r="BH22" s="580" t="s">
        <v>2593</v>
      </c>
      <c r="BI22" s="581"/>
      <c r="BJ22" s="581"/>
      <c r="BK22" s="582"/>
      <c r="BL22" s="420"/>
      <c r="BO22" s="386" t="s">
        <v>24</v>
      </c>
      <c r="BP22" s="387">
        <f>+IF('Worksheet (2)'!$O37="V","fabric verticle",IF('Worksheet (2)'!$O37="RR","fabric Railroad",0))</f>
        <v>0</v>
      </c>
      <c r="BQ22" s="594" t="s">
        <v>25</v>
      </c>
      <c r="BR22" s="595"/>
      <c r="BS22" s="596"/>
      <c r="BT22" s="388" t="str">
        <f>+IF('Worksheet (2)'!$J37&gt;0,'Worksheet (2)'!$J37,"NO")</f>
        <v>NO</v>
      </c>
      <c r="BV22" s="377"/>
      <c r="BW22" s="389"/>
      <c r="BX22" s="580" t="s">
        <v>2593</v>
      </c>
      <c r="BY22" s="581"/>
      <c r="BZ22" s="581"/>
      <c r="CA22" s="582"/>
    </row>
    <row r="23" spans="1:79" s="391" customFormat="1" ht="20.100000000000001" customHeight="1" x14ac:dyDescent="0.3">
      <c r="A23" s="352"/>
      <c r="B23" s="352"/>
      <c r="C23" s="585">
        <f>+'Worksheet (2)'!$N17</f>
        <v>0</v>
      </c>
      <c r="D23" s="586"/>
      <c r="E23" s="587" t="s">
        <v>26</v>
      </c>
      <c r="F23" s="588"/>
      <c r="G23" s="589"/>
      <c r="H23" s="390">
        <f>+'Worksheet (2)'!$L17</f>
        <v>0</v>
      </c>
      <c r="J23" s="590"/>
      <c r="K23" s="591"/>
      <c r="L23" s="581"/>
      <c r="M23" s="581"/>
      <c r="N23" s="581"/>
      <c r="O23" s="582"/>
      <c r="P23" s="420"/>
      <c r="Q23" s="352"/>
      <c r="R23" s="352"/>
      <c r="S23" s="585">
        <f>+'Worksheet (2)'!$N22</f>
        <v>0</v>
      </c>
      <c r="T23" s="586"/>
      <c r="U23" s="587" t="s">
        <v>26</v>
      </c>
      <c r="V23" s="588"/>
      <c r="W23" s="589"/>
      <c r="X23" s="390">
        <f>+'Worksheet (2)'!$L22</f>
        <v>0</v>
      </c>
      <c r="Z23" s="590"/>
      <c r="AA23" s="591"/>
      <c r="AB23" s="581"/>
      <c r="AC23" s="581"/>
      <c r="AD23" s="581"/>
      <c r="AE23" s="582"/>
      <c r="AF23" s="420"/>
      <c r="AG23" s="352"/>
      <c r="AH23" s="352"/>
      <c r="AI23" s="585">
        <f>+'Worksheet (2)'!$N27</f>
        <v>0</v>
      </c>
      <c r="AJ23" s="586"/>
      <c r="AK23" s="587" t="s">
        <v>26</v>
      </c>
      <c r="AL23" s="588"/>
      <c r="AM23" s="589"/>
      <c r="AN23" s="390">
        <f>+'Worksheet (2)'!$L27</f>
        <v>0</v>
      </c>
      <c r="AP23" s="590"/>
      <c r="AQ23" s="591"/>
      <c r="AR23" s="581"/>
      <c r="AS23" s="581"/>
      <c r="AT23" s="581"/>
      <c r="AU23" s="582"/>
      <c r="AV23" s="420"/>
      <c r="AW23" s="352"/>
      <c r="AX23" s="352"/>
      <c r="AY23" s="585">
        <f>+'Worksheet (2)'!$N32</f>
        <v>0</v>
      </c>
      <c r="AZ23" s="586"/>
      <c r="BA23" s="587" t="s">
        <v>26</v>
      </c>
      <c r="BB23" s="588"/>
      <c r="BC23" s="589"/>
      <c r="BD23" s="390">
        <f>+'Worksheet (2)'!$L32</f>
        <v>0</v>
      </c>
      <c r="BF23" s="590"/>
      <c r="BG23" s="591"/>
      <c r="BH23" s="581"/>
      <c r="BI23" s="581"/>
      <c r="BJ23" s="581"/>
      <c r="BK23" s="582"/>
      <c r="BL23" s="420"/>
      <c r="BM23" s="352"/>
      <c r="BN23" s="352"/>
      <c r="BO23" s="585">
        <f>+'Worksheet (2)'!$N37</f>
        <v>0</v>
      </c>
      <c r="BP23" s="586"/>
      <c r="BQ23" s="587" t="s">
        <v>26</v>
      </c>
      <c r="BR23" s="588"/>
      <c r="BS23" s="589"/>
      <c r="BT23" s="390">
        <f>+'Worksheet (2)'!$L37</f>
        <v>0</v>
      </c>
      <c r="BV23" s="590"/>
      <c r="BW23" s="591"/>
      <c r="BX23" s="581"/>
      <c r="BY23" s="581"/>
      <c r="BZ23" s="581"/>
      <c r="CA23" s="582"/>
    </row>
    <row r="24" spans="1:79" ht="20.100000000000001" customHeight="1" x14ac:dyDescent="0.35">
      <c r="C24" s="392" t="s">
        <v>20</v>
      </c>
      <c r="D24" s="393" t="s">
        <v>27</v>
      </c>
      <c r="E24" s="594" t="s">
        <v>28</v>
      </c>
      <c r="F24" s="595"/>
      <c r="G24" s="596"/>
      <c r="H24" s="394" t="str">
        <f>+IF('Worksheet (2)'!$K17&gt;0,'Worksheet (2)'!$K17,"NO facia")</f>
        <v>NO facia</v>
      </c>
      <c r="J24" s="392" t="s">
        <v>20</v>
      </c>
      <c r="K24" s="393" t="s">
        <v>27</v>
      </c>
      <c r="L24" s="581"/>
      <c r="M24" s="581"/>
      <c r="N24" s="581"/>
      <c r="O24" s="582"/>
      <c r="P24" s="420"/>
      <c r="S24" s="392" t="s">
        <v>20</v>
      </c>
      <c r="T24" s="393" t="s">
        <v>27</v>
      </c>
      <c r="U24" s="594" t="s">
        <v>28</v>
      </c>
      <c r="V24" s="595"/>
      <c r="W24" s="596"/>
      <c r="X24" s="394" t="str">
        <f>+IF('Worksheet (2)'!$K22&gt;0,'Worksheet (2)'!$K22,"NO facia")</f>
        <v>NO facia</v>
      </c>
      <c r="Z24" s="392" t="s">
        <v>20</v>
      </c>
      <c r="AA24" s="393" t="s">
        <v>27</v>
      </c>
      <c r="AB24" s="581"/>
      <c r="AC24" s="581"/>
      <c r="AD24" s="581"/>
      <c r="AE24" s="582"/>
      <c r="AF24" s="420"/>
      <c r="AI24" s="392" t="s">
        <v>20</v>
      </c>
      <c r="AJ24" s="393" t="s">
        <v>27</v>
      </c>
      <c r="AK24" s="594" t="s">
        <v>28</v>
      </c>
      <c r="AL24" s="595"/>
      <c r="AM24" s="596"/>
      <c r="AN24" s="394" t="str">
        <f>+IF('Worksheet (2)'!$K27&gt;0,'Worksheet (2)'!$K27,"NO facia")</f>
        <v>NO facia</v>
      </c>
      <c r="AP24" s="392" t="s">
        <v>20</v>
      </c>
      <c r="AQ24" s="393" t="s">
        <v>27</v>
      </c>
      <c r="AR24" s="581"/>
      <c r="AS24" s="581"/>
      <c r="AT24" s="581"/>
      <c r="AU24" s="582"/>
      <c r="AV24" s="420"/>
      <c r="AY24" s="392" t="s">
        <v>20</v>
      </c>
      <c r="AZ24" s="393" t="s">
        <v>27</v>
      </c>
      <c r="BA24" s="594" t="s">
        <v>28</v>
      </c>
      <c r="BB24" s="595"/>
      <c r="BC24" s="596"/>
      <c r="BD24" s="394" t="str">
        <f>+IF('Worksheet (2)'!$K32&gt;0,'Worksheet (2)'!$K32,"NO facia")</f>
        <v>NO facia</v>
      </c>
      <c r="BF24" s="392" t="s">
        <v>20</v>
      </c>
      <c r="BG24" s="393" t="s">
        <v>27</v>
      </c>
      <c r="BH24" s="581"/>
      <c r="BI24" s="581"/>
      <c r="BJ24" s="581"/>
      <c r="BK24" s="582"/>
      <c r="BL24" s="420"/>
      <c r="BO24" s="392" t="s">
        <v>20</v>
      </c>
      <c r="BP24" s="393" t="s">
        <v>27</v>
      </c>
      <c r="BQ24" s="594" t="s">
        <v>28</v>
      </c>
      <c r="BR24" s="595"/>
      <c r="BS24" s="596"/>
      <c r="BT24" s="394" t="str">
        <f>+IF('Worksheet (2)'!$K37&gt;0,'Worksheet (2)'!$K37,"NO facia")</f>
        <v>NO facia</v>
      </c>
      <c r="BV24" s="392" t="s">
        <v>20</v>
      </c>
      <c r="BW24" s="393" t="s">
        <v>27</v>
      </c>
      <c r="BX24" s="581"/>
      <c r="BY24" s="581"/>
      <c r="BZ24" s="581"/>
      <c r="CA24" s="582"/>
    </row>
    <row r="25" spans="1:79" ht="29.1" customHeight="1" x14ac:dyDescent="0.6">
      <c r="C25" s="395">
        <f>'Worksheet (2)'!$AH17</f>
        <v>-1.375</v>
      </c>
      <c r="D25" s="396">
        <f>ROUND(+F20+12,0)</f>
        <v>12</v>
      </c>
      <c r="E25" s="597" t="s">
        <v>29</v>
      </c>
      <c r="F25" s="598"/>
      <c r="G25" s="599"/>
      <c r="H25" s="394" t="str">
        <f>+IF('Worksheet (2)'!$K17&gt;0,"facia brkts","reg. brkts")</f>
        <v>reg. brkts</v>
      </c>
      <c r="J25" s="395">
        <f>C25</f>
        <v>-1.375</v>
      </c>
      <c r="K25" s="396">
        <f>D25</f>
        <v>12</v>
      </c>
      <c r="L25" s="583"/>
      <c r="M25" s="583"/>
      <c r="N25" s="583"/>
      <c r="O25" s="584"/>
      <c r="P25" s="420"/>
      <c r="S25" s="395">
        <f>'Worksheet (2)'!$AH22</f>
        <v>-1.375</v>
      </c>
      <c r="T25" s="396">
        <f>ROUND(+V20+12,0)</f>
        <v>12</v>
      </c>
      <c r="U25" s="597" t="s">
        <v>29</v>
      </c>
      <c r="V25" s="598"/>
      <c r="W25" s="599"/>
      <c r="X25" s="394" t="str">
        <f>+IF('Worksheet (2)'!$K22&gt;0,"facia brkts","reg. brkts")</f>
        <v>reg. brkts</v>
      </c>
      <c r="Z25" s="395">
        <f>S25</f>
        <v>-1.375</v>
      </c>
      <c r="AA25" s="396">
        <f>T25</f>
        <v>12</v>
      </c>
      <c r="AB25" s="583"/>
      <c r="AC25" s="583"/>
      <c r="AD25" s="583"/>
      <c r="AE25" s="584"/>
      <c r="AF25" s="420"/>
      <c r="AI25" s="395">
        <f>'Worksheet (2)'!$AH27</f>
        <v>-1.375</v>
      </c>
      <c r="AJ25" s="396">
        <f>ROUND(+AL20+12,0)</f>
        <v>12</v>
      </c>
      <c r="AK25" s="597" t="s">
        <v>29</v>
      </c>
      <c r="AL25" s="598"/>
      <c r="AM25" s="599"/>
      <c r="AN25" s="394" t="str">
        <f>+IF('Worksheet (2)'!$K27&gt;0,"facia brkts","reg. brkts")</f>
        <v>reg. brkts</v>
      </c>
      <c r="AP25" s="395">
        <f>AI25</f>
        <v>-1.375</v>
      </c>
      <c r="AQ25" s="396">
        <f>AJ25</f>
        <v>12</v>
      </c>
      <c r="AR25" s="583"/>
      <c r="AS25" s="583"/>
      <c r="AT25" s="583"/>
      <c r="AU25" s="584"/>
      <c r="AV25" s="420"/>
      <c r="AY25" s="395">
        <f>'Worksheet (2)'!$AH32</f>
        <v>-1.375</v>
      </c>
      <c r="AZ25" s="396">
        <f>ROUND(+BB20+12,0)</f>
        <v>12</v>
      </c>
      <c r="BA25" s="597" t="s">
        <v>29</v>
      </c>
      <c r="BB25" s="598"/>
      <c r="BC25" s="599"/>
      <c r="BD25" s="394" t="str">
        <f>+IF('Worksheet (2)'!$K32&gt;0,"facia brkts","reg. brkts")</f>
        <v>reg. brkts</v>
      </c>
      <c r="BF25" s="395">
        <f>AY25</f>
        <v>-1.375</v>
      </c>
      <c r="BG25" s="396">
        <f>AZ25</f>
        <v>12</v>
      </c>
      <c r="BH25" s="583"/>
      <c r="BI25" s="583"/>
      <c r="BJ25" s="583"/>
      <c r="BK25" s="584"/>
      <c r="BL25" s="420"/>
      <c r="BO25" s="395">
        <f>'Worksheet (2)'!$AH37</f>
        <v>-1.375</v>
      </c>
      <c r="BP25" s="396">
        <f>ROUND(+BR20+12,0)</f>
        <v>12</v>
      </c>
      <c r="BQ25" s="597" t="s">
        <v>29</v>
      </c>
      <c r="BR25" s="598"/>
      <c r="BS25" s="599"/>
      <c r="BT25" s="394" t="str">
        <f>+IF('Worksheet (2)'!$K37&gt;0,"facia brkts","reg. brkts")</f>
        <v>reg. brkts</v>
      </c>
      <c r="BV25" s="395">
        <f>BO25</f>
        <v>-1.375</v>
      </c>
      <c r="BW25" s="396">
        <f>BP25</f>
        <v>12</v>
      </c>
      <c r="BX25" s="583"/>
      <c r="BY25" s="583"/>
      <c r="BZ25" s="583"/>
      <c r="CA25" s="584"/>
    </row>
    <row r="26" spans="1:79" ht="30" customHeight="1" thickBot="1" x14ac:dyDescent="0.65">
      <c r="A26" s="352" t="s">
        <v>81</v>
      </c>
      <c r="C26" s="397"/>
      <c r="D26" s="398" t="str">
        <f>+IF($C20&gt;0,"ROLLERSHADE","do not use")</f>
        <v>do not use</v>
      </c>
      <c r="E26" s="399"/>
      <c r="F26" s="399"/>
      <c r="G26" s="399"/>
      <c r="H26" s="400"/>
      <c r="J26" s="401"/>
      <c r="K26" s="398" t="str">
        <f>+IF(C20&gt;0,"TUBE SIZE","do not use")</f>
        <v>do not use</v>
      </c>
      <c r="L26" s="399"/>
      <c r="M26" s="408" t="str">
        <f>IF(K26="TUBE SIZE",C20,IF('Worksheet (2)'!E28="Fabric ONLY","Fabric ONLY"," "))</f>
        <v xml:space="preserve"> </v>
      </c>
      <c r="N26" s="399"/>
      <c r="O26" s="400"/>
      <c r="P26" s="384"/>
      <c r="S26" s="397"/>
      <c r="T26" s="398" t="str">
        <f>+IF($T20&gt;0,"ROLLERSHADE","do not use")</f>
        <v>do not use</v>
      </c>
      <c r="U26" s="399"/>
      <c r="V26" s="399"/>
      <c r="W26" s="399"/>
      <c r="X26" s="400"/>
      <c r="Z26" s="401"/>
      <c r="AA26" s="398" t="str">
        <f>+IF(S20&gt;0,"TUBE SIZE","do not use")</f>
        <v>do not use</v>
      </c>
      <c r="AB26" s="399"/>
      <c r="AC26" s="408" t="str">
        <f>IF(AA26="TUBE SIZE",S20,IF('Worksheet (2)'!U28="Fabric ONLY","Fabric ONLY"," "))</f>
        <v xml:space="preserve"> </v>
      </c>
      <c r="AD26" s="399"/>
      <c r="AE26" s="400"/>
      <c r="AF26" s="384"/>
      <c r="AI26" s="397"/>
      <c r="AJ26" s="398" t="str">
        <f>+IF($AI20&gt;0,"ROLLERSHADE","do not use")</f>
        <v>do not use</v>
      </c>
      <c r="AK26" s="399"/>
      <c r="AL26" s="399"/>
      <c r="AM26" s="399"/>
      <c r="AN26" s="400"/>
      <c r="AP26" s="401"/>
      <c r="AQ26" s="398" t="str">
        <f>+IF(AI20&gt;0,"TUBE SIZE","do not use")</f>
        <v>do not use</v>
      </c>
      <c r="AR26" s="399"/>
      <c r="AS26" s="408" t="str">
        <f>IF(AQ26="TUBE SIZE",AI20,IF('Worksheet (2)'!AR28="Fabric ONLY","Fabric ONLY"," "))</f>
        <v xml:space="preserve"> </v>
      </c>
      <c r="AT26" s="399"/>
      <c r="AU26" s="400"/>
      <c r="AV26" s="384"/>
      <c r="AY26" s="397"/>
      <c r="AZ26" s="398" t="str">
        <f>+IF($AY20&gt;0,"ROLLERSHADE","do not use")</f>
        <v>do not use</v>
      </c>
      <c r="BA26" s="399"/>
      <c r="BB26" s="399"/>
      <c r="BC26" s="399"/>
      <c r="BD26" s="400"/>
      <c r="BF26" s="401"/>
      <c r="BG26" s="398" t="str">
        <f>+IF(AY20&gt;0,"TUBE SIZE","do not use")</f>
        <v>do not use</v>
      </c>
      <c r="BH26" s="399"/>
      <c r="BI26" s="408" t="str">
        <f>IF(BG26="TUBE SIZE",AY20,IF('Worksheet (2)'!BH28="Fabric ONLY","Fabric ONLY"," "))</f>
        <v xml:space="preserve"> </v>
      </c>
      <c r="BJ26" s="399"/>
      <c r="BK26" s="400"/>
      <c r="BL26" s="384"/>
      <c r="BO26" s="397"/>
      <c r="BP26" s="398" t="str">
        <f>+IF($BO20&gt;0,"ROLLERSHADE","do not use")</f>
        <v>do not use</v>
      </c>
      <c r="BQ26" s="399"/>
      <c r="BR26" s="399"/>
      <c r="BS26" s="399"/>
      <c r="BT26" s="400"/>
      <c r="BV26" s="401"/>
      <c r="BW26" s="398" t="str">
        <f>+IF(BO20&gt;0,"TUBE SIZE","do not use")</f>
        <v>do not use</v>
      </c>
      <c r="BX26" s="399"/>
      <c r="BY26" s="408" t="str">
        <f>IF(BW26="TUBE SIZE",BO20,IF('Worksheet (2)'!BX28="Fabric ONLY","Fabric ONLY"," "))</f>
        <v xml:space="preserve"> </v>
      </c>
      <c r="BZ26" s="399"/>
      <c r="CA26" s="400"/>
    </row>
    <row r="27" spans="1:79" ht="57.75" customHeight="1" thickBot="1" x14ac:dyDescent="0.65">
      <c r="C27" s="404"/>
      <c r="D27" s="405"/>
      <c r="E27" s="384"/>
      <c r="F27" s="384"/>
      <c r="G27" s="384"/>
      <c r="H27" s="384"/>
      <c r="J27" s="402"/>
      <c r="K27" s="403"/>
      <c r="S27" s="404"/>
      <c r="T27" s="405"/>
      <c r="U27" s="384"/>
      <c r="V27" s="384"/>
      <c r="W27" s="384"/>
      <c r="X27" s="384"/>
      <c r="Z27" s="402"/>
      <c r="AA27" s="403"/>
      <c r="AI27" s="404"/>
      <c r="AJ27" s="405"/>
      <c r="AK27" s="384"/>
      <c r="AL27" s="384"/>
      <c r="AM27" s="384"/>
      <c r="AN27" s="384"/>
      <c r="AP27" s="402"/>
      <c r="AQ27" s="403"/>
      <c r="AY27" s="404"/>
      <c r="AZ27" s="405"/>
      <c r="BA27" s="384"/>
      <c r="BB27" s="384"/>
      <c r="BC27" s="384"/>
      <c r="BD27" s="384"/>
      <c r="BF27" s="402"/>
      <c r="BG27" s="403"/>
      <c r="BO27" s="404"/>
      <c r="BP27" s="405"/>
      <c r="BQ27" s="384"/>
      <c r="BR27" s="384"/>
      <c r="BS27" s="384"/>
      <c r="BT27" s="384"/>
      <c r="BV27" s="402"/>
      <c r="BW27" s="403"/>
    </row>
    <row r="28" spans="1:79" ht="20.100000000000001" customHeight="1" thickBot="1" x14ac:dyDescent="0.7">
      <c r="A28" s="352" t="s">
        <v>2482</v>
      </c>
      <c r="B28" s="352" t="s">
        <v>2483</v>
      </c>
      <c r="C28" s="359" t="s">
        <v>21</v>
      </c>
      <c r="D28" s="564">
        <f>+jobnumber</f>
        <v>33303</v>
      </c>
      <c r="E28" s="565"/>
      <c r="F28" s="565"/>
      <c r="G28" s="566"/>
      <c r="H28" s="567" t="str">
        <f>+'Worksheet (2)'!$B18</f>
        <v>P2-RS3</v>
      </c>
      <c r="J28" s="359" t="s">
        <v>21</v>
      </c>
      <c r="K28" s="360">
        <f>+jobnumber</f>
        <v>33303</v>
      </c>
      <c r="L28" s="361"/>
      <c r="M28" s="361"/>
      <c r="N28" s="361"/>
      <c r="O28" s="567" t="str">
        <f>+H28</f>
        <v>P2-RS3</v>
      </c>
      <c r="P28" s="362"/>
      <c r="Q28" s="352" t="s">
        <v>55</v>
      </c>
      <c r="R28" s="352" t="s">
        <v>2488</v>
      </c>
      <c r="S28" s="359" t="s">
        <v>21</v>
      </c>
      <c r="T28" s="564">
        <f>+jobnumber</f>
        <v>33303</v>
      </c>
      <c r="U28" s="565"/>
      <c r="V28" s="565"/>
      <c r="W28" s="566"/>
      <c r="X28" s="567" t="str">
        <f>+'Worksheet (2)'!$B23</f>
        <v>P2-RS8</v>
      </c>
      <c r="Z28" s="359" t="s">
        <v>21</v>
      </c>
      <c r="AA28" s="360">
        <f>+jobnumber</f>
        <v>33303</v>
      </c>
      <c r="AB28" s="361"/>
      <c r="AC28" s="361"/>
      <c r="AD28" s="361"/>
      <c r="AE28" s="567" t="str">
        <f>+X28</f>
        <v>P2-RS8</v>
      </c>
      <c r="AF28" s="362"/>
      <c r="AG28" s="352" t="s">
        <v>61</v>
      </c>
      <c r="AH28" s="352" t="s">
        <v>2493</v>
      </c>
      <c r="AI28" s="359" t="s">
        <v>21</v>
      </c>
      <c r="AJ28" s="564">
        <f>+jobnumber</f>
        <v>33303</v>
      </c>
      <c r="AK28" s="565"/>
      <c r="AL28" s="565"/>
      <c r="AM28" s="566"/>
      <c r="AN28" s="567" t="str">
        <f>+'Worksheet (2)'!$B28</f>
        <v>P2-RS13</v>
      </c>
      <c r="AP28" s="359" t="s">
        <v>21</v>
      </c>
      <c r="AQ28" s="360">
        <f>+jobnumber</f>
        <v>33303</v>
      </c>
      <c r="AR28" s="361"/>
      <c r="AS28" s="361"/>
      <c r="AT28" s="361"/>
      <c r="AU28" s="567" t="str">
        <f>+AN28</f>
        <v>P2-RS13</v>
      </c>
      <c r="AV28" s="362"/>
      <c r="AW28" s="352" t="s">
        <v>66</v>
      </c>
      <c r="AX28" s="352" t="s">
        <v>2498</v>
      </c>
      <c r="AY28" s="359" t="s">
        <v>21</v>
      </c>
      <c r="AZ28" s="564">
        <f>+jobnumber</f>
        <v>33303</v>
      </c>
      <c r="BA28" s="565"/>
      <c r="BB28" s="565"/>
      <c r="BC28" s="566"/>
      <c r="BD28" s="567" t="str">
        <f>+'Worksheet (2)'!$B33</f>
        <v>P2-RS18</v>
      </c>
      <c r="BF28" s="359" t="s">
        <v>21</v>
      </c>
      <c r="BG28" s="360">
        <f>+jobnumber</f>
        <v>33303</v>
      </c>
      <c r="BH28" s="361"/>
      <c r="BI28" s="361"/>
      <c r="BJ28" s="361"/>
      <c r="BK28" s="567" t="str">
        <f>+BD28</f>
        <v>P2-RS18</v>
      </c>
      <c r="BL28" s="362"/>
      <c r="BM28" s="352" t="s">
        <v>179</v>
      </c>
      <c r="BN28" s="352" t="s">
        <v>2503</v>
      </c>
      <c r="BO28" s="359" t="s">
        <v>21</v>
      </c>
      <c r="BP28" s="564">
        <f>+jobnumber</f>
        <v>33303</v>
      </c>
      <c r="BQ28" s="565"/>
      <c r="BR28" s="565"/>
      <c r="BS28" s="566"/>
      <c r="BT28" s="567" t="str">
        <f>+'Worksheet (2)'!$B38</f>
        <v>P2-RS23</v>
      </c>
      <c r="BV28" s="359" t="s">
        <v>21</v>
      </c>
      <c r="BW28" s="360">
        <f>+jobnumber</f>
        <v>33303</v>
      </c>
      <c r="BX28" s="361"/>
      <c r="BY28" s="361"/>
      <c r="BZ28" s="361"/>
      <c r="CA28" s="567" t="str">
        <f>+BT28</f>
        <v>P2-RS23</v>
      </c>
    </row>
    <row r="29" spans="1:79" ht="20.100000000000001" customHeight="1" thickBot="1" x14ac:dyDescent="0.7">
      <c r="C29" s="363" t="s">
        <v>2626</v>
      </c>
      <c r="D29" s="569" t="str">
        <f>+_xlfn.SINGLE(bill_name)</f>
        <v>JLL</v>
      </c>
      <c r="E29" s="570"/>
      <c r="F29" s="570"/>
      <c r="G29" s="571"/>
      <c r="H29" s="568"/>
      <c r="J29" s="365" t="s">
        <v>22</v>
      </c>
      <c r="K29" s="366" t="str">
        <f>+_xlfn.SINGLE(bill_name)</f>
        <v>JLL</v>
      </c>
      <c r="L29" s="367"/>
      <c r="M29" s="367"/>
      <c r="N29" s="367"/>
      <c r="O29" s="568"/>
      <c r="P29" s="362"/>
      <c r="S29" s="363" t="s">
        <v>2626</v>
      </c>
      <c r="T29" s="569" t="str">
        <f>+_xlfn.SINGLE(bill_name)</f>
        <v>JLL</v>
      </c>
      <c r="U29" s="570"/>
      <c r="V29" s="570"/>
      <c r="W29" s="571"/>
      <c r="X29" s="568"/>
      <c r="Z29" s="365" t="s">
        <v>22</v>
      </c>
      <c r="AA29" s="366" t="str">
        <f>+_xlfn.SINGLE(bill_name)</f>
        <v>JLL</v>
      </c>
      <c r="AB29" s="367"/>
      <c r="AC29" s="367"/>
      <c r="AD29" s="367"/>
      <c r="AE29" s="568"/>
      <c r="AF29" s="362"/>
      <c r="AI29" s="363" t="s">
        <v>2626</v>
      </c>
      <c r="AJ29" s="569" t="str">
        <f>+_xlfn.SINGLE(bill_name)</f>
        <v>JLL</v>
      </c>
      <c r="AK29" s="570"/>
      <c r="AL29" s="570"/>
      <c r="AM29" s="571"/>
      <c r="AN29" s="568"/>
      <c r="AP29" s="365" t="s">
        <v>22</v>
      </c>
      <c r="AQ29" s="366" t="str">
        <f>+_xlfn.SINGLE(bill_name)</f>
        <v>JLL</v>
      </c>
      <c r="AR29" s="367"/>
      <c r="AS29" s="367"/>
      <c r="AT29" s="367"/>
      <c r="AU29" s="568"/>
      <c r="AV29" s="362"/>
      <c r="AY29" s="363" t="s">
        <v>2626</v>
      </c>
      <c r="AZ29" s="569" t="str">
        <f>+_xlfn.SINGLE(bill_name)</f>
        <v>JLL</v>
      </c>
      <c r="BA29" s="570"/>
      <c r="BB29" s="570"/>
      <c r="BC29" s="571"/>
      <c r="BD29" s="568"/>
      <c r="BF29" s="365" t="s">
        <v>22</v>
      </c>
      <c r="BG29" s="366" t="str">
        <f>+_xlfn.SINGLE(bill_name)</f>
        <v>JLL</v>
      </c>
      <c r="BH29" s="367"/>
      <c r="BI29" s="367"/>
      <c r="BJ29" s="367"/>
      <c r="BK29" s="568"/>
      <c r="BL29" s="362"/>
      <c r="BO29" s="363" t="s">
        <v>2626</v>
      </c>
      <c r="BP29" s="569" t="str">
        <f>+_xlfn.SINGLE(bill_name)</f>
        <v>JLL</v>
      </c>
      <c r="BQ29" s="570"/>
      <c r="BR29" s="570"/>
      <c r="BS29" s="571"/>
      <c r="BT29" s="568"/>
      <c r="BV29" s="365" t="s">
        <v>22</v>
      </c>
      <c r="BW29" s="366" t="str">
        <f>+_xlfn.SINGLE(bill_name)</f>
        <v>JLL</v>
      </c>
      <c r="BX29" s="367"/>
      <c r="BY29" s="367"/>
      <c r="BZ29" s="367"/>
      <c r="CA29" s="568"/>
    </row>
    <row r="30" spans="1:79" s="364" customFormat="1" ht="20.100000000000001" customHeight="1" x14ac:dyDescent="0.4">
      <c r="A30" s="352"/>
      <c r="B30" s="352"/>
      <c r="C30" s="368" t="s">
        <v>2627</v>
      </c>
      <c r="D30" s="572" t="str">
        <f>+jobname</f>
        <v>Cottonwood Creek WO#I5187109-00104</v>
      </c>
      <c r="E30" s="573"/>
      <c r="F30" s="573"/>
      <c r="G30" s="573"/>
      <c r="H30" s="574"/>
      <c r="J30" s="369" t="s">
        <v>78</v>
      </c>
      <c r="K30" s="370" t="str">
        <f>+jobname</f>
        <v>Cottonwood Creek WO#I5187109-00104</v>
      </c>
      <c r="L30" s="371"/>
      <c r="M30" s="371"/>
      <c r="N30" s="371"/>
      <c r="O30" s="372"/>
      <c r="P30" s="373"/>
      <c r="Q30" s="352"/>
      <c r="R30" s="352"/>
      <c r="S30" s="368" t="s">
        <v>2627</v>
      </c>
      <c r="T30" s="572" t="str">
        <f>+jobname</f>
        <v>Cottonwood Creek WO#I5187109-00104</v>
      </c>
      <c r="U30" s="573"/>
      <c r="V30" s="573"/>
      <c r="W30" s="573"/>
      <c r="X30" s="574"/>
      <c r="Z30" s="369" t="s">
        <v>78</v>
      </c>
      <c r="AA30" s="370" t="str">
        <f>+jobname</f>
        <v>Cottonwood Creek WO#I5187109-00104</v>
      </c>
      <c r="AB30" s="371"/>
      <c r="AC30" s="371"/>
      <c r="AD30" s="371"/>
      <c r="AE30" s="372"/>
      <c r="AF30" s="373"/>
      <c r="AG30" s="352"/>
      <c r="AH30" s="352"/>
      <c r="AI30" s="368" t="s">
        <v>2627</v>
      </c>
      <c r="AJ30" s="572" t="str">
        <f>+jobname</f>
        <v>Cottonwood Creek WO#I5187109-00104</v>
      </c>
      <c r="AK30" s="573"/>
      <c r="AL30" s="573"/>
      <c r="AM30" s="573"/>
      <c r="AN30" s="574"/>
      <c r="AP30" s="369" t="s">
        <v>78</v>
      </c>
      <c r="AQ30" s="370" t="str">
        <f>+jobname</f>
        <v>Cottonwood Creek WO#I5187109-00104</v>
      </c>
      <c r="AR30" s="371"/>
      <c r="AS30" s="371"/>
      <c r="AT30" s="371"/>
      <c r="AU30" s="372"/>
      <c r="AV30" s="373"/>
      <c r="AW30" s="352"/>
      <c r="AX30" s="352"/>
      <c r="AY30" s="368" t="s">
        <v>2627</v>
      </c>
      <c r="AZ30" s="572" t="str">
        <f>+jobname</f>
        <v>Cottonwood Creek WO#I5187109-00104</v>
      </c>
      <c r="BA30" s="573"/>
      <c r="BB30" s="573"/>
      <c r="BC30" s="573"/>
      <c r="BD30" s="574"/>
      <c r="BF30" s="369" t="s">
        <v>78</v>
      </c>
      <c r="BG30" s="370" t="str">
        <f>+jobname</f>
        <v>Cottonwood Creek WO#I5187109-00104</v>
      </c>
      <c r="BH30" s="371"/>
      <c r="BI30" s="371"/>
      <c r="BJ30" s="371"/>
      <c r="BK30" s="372"/>
      <c r="BL30" s="373"/>
      <c r="BM30" s="352"/>
      <c r="BN30" s="352"/>
      <c r="BO30" s="368" t="s">
        <v>2627</v>
      </c>
      <c r="BP30" s="572" t="str">
        <f>+jobname</f>
        <v>Cottonwood Creek WO#I5187109-00104</v>
      </c>
      <c r="BQ30" s="573"/>
      <c r="BR30" s="573"/>
      <c r="BS30" s="573"/>
      <c r="BT30" s="574"/>
      <c r="BV30" s="369" t="s">
        <v>78</v>
      </c>
      <c r="BW30" s="370" t="str">
        <f>+jobname</f>
        <v>Cottonwood Creek WO#I5187109-00104</v>
      </c>
      <c r="BX30" s="371"/>
      <c r="BY30" s="371"/>
      <c r="BZ30" s="371"/>
      <c r="CA30" s="372"/>
    </row>
    <row r="31" spans="1:79" s="364" customFormat="1" ht="20.100000000000001" customHeight="1" x14ac:dyDescent="0.35">
      <c r="A31" s="352"/>
      <c r="B31" s="352"/>
      <c r="C31" s="374" t="s">
        <v>23</v>
      </c>
      <c r="D31" s="575">
        <f>+'Worksheet (2)'!$C18</f>
        <v>0</v>
      </c>
      <c r="E31" s="576"/>
      <c r="F31" s="576"/>
      <c r="G31" s="371"/>
      <c r="H31" s="375" t="str">
        <f>+IF('Worksheet (2)'!$O$9=1,"Install",IF('Worksheet (2)'!$O$9=2,"Deliver",IF('Worksheet (2)'!$O$9=3,"Will Call",0)))</f>
        <v>Install</v>
      </c>
      <c r="J31" s="374" t="s">
        <v>23</v>
      </c>
      <c r="K31" s="373">
        <f>D31</f>
        <v>0</v>
      </c>
      <c r="L31" s="371"/>
      <c r="M31" s="371"/>
      <c r="N31" s="371"/>
      <c r="O31" s="376" t="str">
        <f>H31</f>
        <v>Install</v>
      </c>
      <c r="P31" s="373"/>
      <c r="Q31" s="352"/>
      <c r="R31" s="352"/>
      <c r="S31" s="374" t="s">
        <v>23</v>
      </c>
      <c r="T31" s="575">
        <f>+'Worksheet (2)'!$C23</f>
        <v>0</v>
      </c>
      <c r="U31" s="576"/>
      <c r="V31" s="576"/>
      <c r="W31" s="371"/>
      <c r="X31" s="375" t="str">
        <f>+IF('Worksheet (2)'!$O$9=1,"Install",IF('Worksheet (2)'!$O$9=2,"Deliver",IF('Worksheet (2)'!$O$9=3,"Will Call",0)))</f>
        <v>Install</v>
      </c>
      <c r="Z31" s="374" t="s">
        <v>23</v>
      </c>
      <c r="AA31" s="373">
        <f>T31</f>
        <v>0</v>
      </c>
      <c r="AB31" s="371"/>
      <c r="AC31" s="371"/>
      <c r="AD31" s="371"/>
      <c r="AE31" s="376" t="str">
        <f>X31</f>
        <v>Install</v>
      </c>
      <c r="AF31" s="373"/>
      <c r="AG31" s="352"/>
      <c r="AH31" s="352"/>
      <c r="AI31" s="374" t="s">
        <v>23</v>
      </c>
      <c r="AJ31" s="575">
        <f>+'Worksheet (2)'!$C28</f>
        <v>0</v>
      </c>
      <c r="AK31" s="576"/>
      <c r="AL31" s="576"/>
      <c r="AM31" s="371"/>
      <c r="AN31" s="375" t="str">
        <f>+IF('Worksheet (2)'!$O$9=1,"Install",IF('Worksheet (2)'!$O$9=2,"Deliver",IF('Worksheet (2)'!$O$9=3,"Will Call",0)))</f>
        <v>Install</v>
      </c>
      <c r="AP31" s="374" t="s">
        <v>23</v>
      </c>
      <c r="AQ31" s="373">
        <f>AJ31</f>
        <v>0</v>
      </c>
      <c r="AR31" s="371"/>
      <c r="AS31" s="371"/>
      <c r="AT31" s="371"/>
      <c r="AU31" s="376" t="str">
        <f>AN31</f>
        <v>Install</v>
      </c>
      <c r="AV31" s="373"/>
      <c r="AW31" s="352"/>
      <c r="AX31" s="352"/>
      <c r="AY31" s="374" t="s">
        <v>23</v>
      </c>
      <c r="AZ31" s="575">
        <f>+'Worksheet (2)'!$C33</f>
        <v>0</v>
      </c>
      <c r="BA31" s="576"/>
      <c r="BB31" s="576"/>
      <c r="BC31" s="371"/>
      <c r="BD31" s="375" t="str">
        <f>+IF('Worksheet (2)'!$O$9=1,"Install",IF('Worksheet (2)'!$O$9=2,"Deliver",IF('Worksheet (2)'!$O$9=3,"Will Call",0)))</f>
        <v>Install</v>
      </c>
      <c r="BF31" s="374" t="s">
        <v>23</v>
      </c>
      <c r="BG31" s="373">
        <f>AZ31</f>
        <v>0</v>
      </c>
      <c r="BH31" s="371"/>
      <c r="BI31" s="371"/>
      <c r="BJ31" s="371"/>
      <c r="BK31" s="376" t="str">
        <f>BD31</f>
        <v>Install</v>
      </c>
      <c r="BL31" s="373"/>
      <c r="BM31" s="352"/>
      <c r="BN31" s="352"/>
      <c r="BO31" s="374" t="s">
        <v>23</v>
      </c>
      <c r="BP31" s="575">
        <f>+'Worksheet (2)'!$C38</f>
        <v>0</v>
      </c>
      <c r="BQ31" s="576"/>
      <c r="BR31" s="576"/>
      <c r="BS31" s="371"/>
      <c r="BT31" s="375" t="str">
        <f>+IF('Worksheet (2)'!$O$9=1,"Install",IF('Worksheet (2)'!$O$9=2,"Deliver",IF('Worksheet (2)'!$O$9=3,"Will Call",0)))</f>
        <v>Install</v>
      </c>
      <c r="BV31" s="374" t="s">
        <v>23</v>
      </c>
      <c r="BW31" s="373">
        <f>BP31</f>
        <v>0</v>
      </c>
      <c r="BX31" s="371"/>
      <c r="BY31" s="371"/>
      <c r="BZ31" s="371"/>
      <c r="CA31" s="376" t="str">
        <f>BT31</f>
        <v>Install</v>
      </c>
    </row>
    <row r="32" spans="1:79" s="364" customFormat="1" ht="20.100000000000001" customHeight="1" x14ac:dyDescent="0.35">
      <c r="A32" s="352"/>
      <c r="B32" s="352"/>
      <c r="C32" s="377">
        <f>+IF('Worksheet (2)'!$D18&gt;0,'Worksheet (2)'!$E18,0)</f>
        <v>0</v>
      </c>
      <c r="D32" s="378">
        <f>+'Worksheet (2)'!$F18</f>
        <v>0</v>
      </c>
      <c r="E32" s="379" t="s">
        <v>4</v>
      </c>
      <c r="F32" s="378">
        <f>+'Worksheet (2)'!$H18</f>
        <v>0</v>
      </c>
      <c r="G32" s="380"/>
      <c r="H32" s="381">
        <f>+'Worksheet (2)'!$I18</f>
        <v>0</v>
      </c>
      <c r="J32" s="377"/>
      <c r="N32" s="380"/>
      <c r="O32" s="381">
        <f>H32</f>
        <v>0</v>
      </c>
      <c r="P32" s="382"/>
      <c r="Q32" s="352"/>
      <c r="R32" s="352"/>
      <c r="S32" s="377">
        <f>+IF('Worksheet (2)'!$D23&gt;0,'Worksheet (2)'!$E23,0)</f>
        <v>0</v>
      </c>
      <c r="T32" s="378">
        <f>+'Worksheet (2)'!$F23</f>
        <v>0</v>
      </c>
      <c r="U32" s="379" t="s">
        <v>4</v>
      </c>
      <c r="V32" s="378">
        <f>+'Worksheet (2)'!$H23</f>
        <v>0</v>
      </c>
      <c r="W32" s="380"/>
      <c r="X32" s="381">
        <f>+'Worksheet (2)'!$I23</f>
        <v>0</v>
      </c>
      <c r="Z32" s="377"/>
      <c r="AD32" s="380"/>
      <c r="AE32" s="381">
        <f>X32</f>
        <v>0</v>
      </c>
      <c r="AF32" s="382"/>
      <c r="AG32" s="352"/>
      <c r="AH32" s="352"/>
      <c r="AI32" s="377">
        <f>+IF('Worksheet (2)'!$D28&gt;0,'Worksheet (2)'!$E28,0)</f>
        <v>0</v>
      </c>
      <c r="AJ32" s="378">
        <f>+'Worksheet (2)'!$F28</f>
        <v>0</v>
      </c>
      <c r="AK32" s="379" t="s">
        <v>4</v>
      </c>
      <c r="AL32" s="378">
        <f>+'Worksheet (2)'!$H28</f>
        <v>0</v>
      </c>
      <c r="AM32" s="380"/>
      <c r="AN32" s="381">
        <f>+'Worksheet (2)'!$I28</f>
        <v>0</v>
      </c>
      <c r="AP32" s="377"/>
      <c r="AT32" s="380"/>
      <c r="AU32" s="381">
        <f>AN32</f>
        <v>0</v>
      </c>
      <c r="AV32" s="382"/>
      <c r="AW32" s="352"/>
      <c r="AX32" s="352"/>
      <c r="AY32" s="377">
        <f>+IF('Worksheet (2)'!$D33&gt;0,'Worksheet (2)'!$E33,0)</f>
        <v>0</v>
      </c>
      <c r="AZ32" s="378">
        <f>+'Worksheet (2)'!$F33</f>
        <v>0</v>
      </c>
      <c r="BA32" s="379" t="s">
        <v>4</v>
      </c>
      <c r="BB32" s="378">
        <f>+'Worksheet (2)'!$H33</f>
        <v>0</v>
      </c>
      <c r="BC32" s="380"/>
      <c r="BD32" s="381">
        <f>+'Worksheet (2)'!$I33</f>
        <v>0</v>
      </c>
      <c r="BF32" s="377"/>
      <c r="BJ32" s="380"/>
      <c r="BK32" s="381">
        <f>BD32</f>
        <v>0</v>
      </c>
      <c r="BL32" s="382"/>
      <c r="BM32" s="352"/>
      <c r="BN32" s="352"/>
      <c r="BO32" s="377">
        <f>+IF('Worksheet (2)'!$D38&gt;0,'Worksheet (2)'!$E38,0)</f>
        <v>0</v>
      </c>
      <c r="BP32" s="378">
        <f>+'Worksheet (2)'!$F38</f>
        <v>0</v>
      </c>
      <c r="BQ32" s="379" t="s">
        <v>4</v>
      </c>
      <c r="BR32" s="378">
        <f>+'Worksheet (2)'!$H38</f>
        <v>0</v>
      </c>
      <c r="BS32" s="380"/>
      <c r="BT32" s="381">
        <f>+'Worksheet (2)'!$I38</f>
        <v>0</v>
      </c>
      <c r="BV32" s="377"/>
      <c r="BZ32" s="380"/>
      <c r="CA32" s="381">
        <f>BT32</f>
        <v>0</v>
      </c>
    </row>
    <row r="33" spans="1:79" ht="20.100000000000001" customHeight="1" x14ac:dyDescent="0.35">
      <c r="C33" s="383" t="s">
        <v>19</v>
      </c>
      <c r="D33" s="592">
        <f>+'Worksheet (2)'!$M18</f>
        <v>0</v>
      </c>
      <c r="E33" s="593"/>
      <c r="F33" s="593"/>
      <c r="G33" s="384"/>
      <c r="H33" s="385"/>
      <c r="J33" s="374" t="s">
        <v>2594</v>
      </c>
      <c r="K33" s="378">
        <f>D32</f>
        <v>0</v>
      </c>
      <c r="L33" s="378" t="str">
        <f>+E32</f>
        <v>X</v>
      </c>
      <c r="M33" s="378">
        <f>F32</f>
        <v>0</v>
      </c>
      <c r="N33" s="384"/>
      <c r="O33" s="385"/>
      <c r="P33" s="384"/>
      <c r="S33" s="383" t="s">
        <v>19</v>
      </c>
      <c r="T33" s="592">
        <f>+'Worksheet (2)'!$M23</f>
        <v>0</v>
      </c>
      <c r="U33" s="593"/>
      <c r="V33" s="593"/>
      <c r="W33" s="384"/>
      <c r="X33" s="385"/>
      <c r="Z33" s="374" t="s">
        <v>2594</v>
      </c>
      <c r="AA33" s="378">
        <f>T32</f>
        <v>0</v>
      </c>
      <c r="AB33" s="378" t="str">
        <f>+U32</f>
        <v>X</v>
      </c>
      <c r="AC33" s="378">
        <f>V32</f>
        <v>0</v>
      </c>
      <c r="AD33" s="384"/>
      <c r="AE33" s="385"/>
      <c r="AF33" s="384"/>
      <c r="AI33" s="383" t="s">
        <v>19</v>
      </c>
      <c r="AJ33" s="592">
        <f>+'Worksheet (2)'!$M28</f>
        <v>0</v>
      </c>
      <c r="AK33" s="593"/>
      <c r="AL33" s="593"/>
      <c r="AM33" s="384"/>
      <c r="AN33" s="385"/>
      <c r="AP33" s="374" t="s">
        <v>2594</v>
      </c>
      <c r="AQ33" s="378">
        <f>AJ32</f>
        <v>0</v>
      </c>
      <c r="AR33" s="378" t="str">
        <f>+AK32</f>
        <v>X</v>
      </c>
      <c r="AS33" s="378">
        <f>AL32</f>
        <v>0</v>
      </c>
      <c r="AT33" s="384"/>
      <c r="AU33" s="385"/>
      <c r="AV33" s="384"/>
      <c r="AY33" s="383" t="s">
        <v>19</v>
      </c>
      <c r="AZ33" s="592">
        <f>+'Worksheet (2)'!$M33</f>
        <v>0</v>
      </c>
      <c r="BA33" s="593"/>
      <c r="BB33" s="593"/>
      <c r="BC33" s="384"/>
      <c r="BD33" s="385"/>
      <c r="BF33" s="374" t="s">
        <v>2594</v>
      </c>
      <c r="BG33" s="378">
        <f>AZ32</f>
        <v>0</v>
      </c>
      <c r="BH33" s="378" t="str">
        <f>+BA32</f>
        <v>X</v>
      </c>
      <c r="BI33" s="378">
        <f>BB32</f>
        <v>0</v>
      </c>
      <c r="BJ33" s="384"/>
      <c r="BK33" s="385"/>
      <c r="BL33" s="384"/>
      <c r="BO33" s="383" t="s">
        <v>19</v>
      </c>
      <c r="BP33" s="592">
        <f>+'Worksheet (2)'!$M38</f>
        <v>0</v>
      </c>
      <c r="BQ33" s="593"/>
      <c r="BR33" s="593"/>
      <c r="BS33" s="384"/>
      <c r="BT33" s="385"/>
      <c r="BV33" s="374" t="s">
        <v>2594</v>
      </c>
      <c r="BW33" s="378">
        <f>BP32</f>
        <v>0</v>
      </c>
      <c r="BX33" s="378" t="str">
        <f>+BQ32</f>
        <v>X</v>
      </c>
      <c r="BY33" s="378">
        <f>BR32</f>
        <v>0</v>
      </c>
      <c r="BZ33" s="384"/>
      <c r="CA33" s="385"/>
    </row>
    <row r="34" spans="1:79" ht="20.100000000000001" customHeight="1" x14ac:dyDescent="0.35">
      <c r="C34" s="386" t="s">
        <v>24</v>
      </c>
      <c r="D34" s="387">
        <f>+IF('Worksheet (2)'!$O18="V","fabric verticle",IF('Worksheet (2)'!$O18="RR","fabric Railroad",0))</f>
        <v>0</v>
      </c>
      <c r="E34" s="594" t="s">
        <v>25</v>
      </c>
      <c r="F34" s="595"/>
      <c r="G34" s="596"/>
      <c r="H34" s="388" t="str">
        <f>+IF('Worksheet (2)'!$J18&gt;0,'Worksheet (2)'!$J18,"NO")</f>
        <v>NO</v>
      </c>
      <c r="J34" s="377"/>
      <c r="K34" s="389"/>
      <c r="L34" s="580" t="s">
        <v>2593</v>
      </c>
      <c r="M34" s="581"/>
      <c r="N34" s="581"/>
      <c r="O34" s="582"/>
      <c r="P34" s="420"/>
      <c r="S34" s="386" t="s">
        <v>24</v>
      </c>
      <c r="T34" s="387">
        <f>+IF('Worksheet (2)'!$O23="V","fabric verticle",IF('Worksheet (2)'!$O23="RR","fabric Railroad",0))</f>
        <v>0</v>
      </c>
      <c r="U34" s="594" t="s">
        <v>25</v>
      </c>
      <c r="V34" s="595"/>
      <c r="W34" s="596"/>
      <c r="X34" s="388" t="str">
        <f>+IF('Worksheet (2)'!$J23&gt;0,'Worksheet (2)'!$J23,"NO")</f>
        <v>NO</v>
      </c>
      <c r="Z34" s="377"/>
      <c r="AA34" s="389"/>
      <c r="AB34" s="580" t="s">
        <v>2593</v>
      </c>
      <c r="AC34" s="581"/>
      <c r="AD34" s="581"/>
      <c r="AE34" s="582"/>
      <c r="AF34" s="420"/>
      <c r="AI34" s="386" t="s">
        <v>24</v>
      </c>
      <c r="AJ34" s="387">
        <f>+IF('Worksheet (2)'!$O28="V","fabric verticle",IF('Worksheet (2)'!$O28="RR","fabric Railroad",0))</f>
        <v>0</v>
      </c>
      <c r="AK34" s="594" t="s">
        <v>25</v>
      </c>
      <c r="AL34" s="595"/>
      <c r="AM34" s="596"/>
      <c r="AN34" s="388" t="str">
        <f>+IF('Worksheet (2)'!$J28&gt;0,'Worksheet (2)'!$J28,"NO")</f>
        <v>NO</v>
      </c>
      <c r="AP34" s="377"/>
      <c r="AQ34" s="389"/>
      <c r="AR34" s="580" t="s">
        <v>2593</v>
      </c>
      <c r="AS34" s="581"/>
      <c r="AT34" s="581"/>
      <c r="AU34" s="582"/>
      <c r="AV34" s="420"/>
      <c r="AY34" s="386" t="s">
        <v>24</v>
      </c>
      <c r="AZ34" s="387">
        <f>+IF('Worksheet (2)'!$O33="V","fabric verticle",IF('Worksheet (2)'!$O33="RR","fabric Railroad",0))</f>
        <v>0</v>
      </c>
      <c r="BA34" s="594" t="s">
        <v>25</v>
      </c>
      <c r="BB34" s="595"/>
      <c r="BC34" s="596"/>
      <c r="BD34" s="388" t="str">
        <f>+IF('Worksheet (2)'!$J33&gt;0,'Worksheet (2)'!$J33,"NO")</f>
        <v>NO</v>
      </c>
      <c r="BF34" s="377"/>
      <c r="BG34" s="389"/>
      <c r="BH34" s="580" t="s">
        <v>2593</v>
      </c>
      <c r="BI34" s="581"/>
      <c r="BJ34" s="581"/>
      <c r="BK34" s="582"/>
      <c r="BL34" s="420"/>
      <c r="BO34" s="386" t="s">
        <v>24</v>
      </c>
      <c r="BP34" s="387">
        <f>+IF('Worksheet (2)'!$O38="V","fabric verticle",IF('Worksheet (2)'!$O38="RR","fabric Railroad",0))</f>
        <v>0</v>
      </c>
      <c r="BQ34" s="594" t="s">
        <v>25</v>
      </c>
      <c r="BR34" s="595"/>
      <c r="BS34" s="596"/>
      <c r="BT34" s="388" t="str">
        <f>+IF('Worksheet (2)'!$J38&gt;0,'Worksheet (2)'!$J38,"NO")</f>
        <v>NO</v>
      </c>
      <c r="BV34" s="377"/>
      <c r="BW34" s="389"/>
      <c r="BX34" s="580" t="s">
        <v>2593</v>
      </c>
      <c r="BY34" s="581"/>
      <c r="BZ34" s="581"/>
      <c r="CA34" s="582"/>
    </row>
    <row r="35" spans="1:79" s="391" customFormat="1" ht="20.100000000000001" customHeight="1" x14ac:dyDescent="0.3">
      <c r="A35" s="352"/>
      <c r="B35" s="352"/>
      <c r="C35" s="585">
        <f>+'Worksheet (2)'!$N18</f>
        <v>0</v>
      </c>
      <c r="D35" s="586"/>
      <c r="E35" s="587" t="s">
        <v>26</v>
      </c>
      <c r="F35" s="588"/>
      <c r="G35" s="589"/>
      <c r="H35" s="390">
        <f>+'Worksheet (2)'!$L18</f>
        <v>0</v>
      </c>
      <c r="J35" s="590"/>
      <c r="K35" s="591"/>
      <c r="L35" s="581"/>
      <c r="M35" s="581"/>
      <c r="N35" s="581"/>
      <c r="O35" s="582"/>
      <c r="P35" s="420"/>
      <c r="Q35" s="352"/>
      <c r="R35" s="352"/>
      <c r="S35" s="585">
        <f>+'Worksheet (2)'!$N23</f>
        <v>0</v>
      </c>
      <c r="T35" s="586"/>
      <c r="U35" s="587" t="s">
        <v>26</v>
      </c>
      <c r="V35" s="588"/>
      <c r="W35" s="589"/>
      <c r="X35" s="390">
        <f>+'Worksheet (2)'!$L23</f>
        <v>0</v>
      </c>
      <c r="Z35" s="590"/>
      <c r="AA35" s="591"/>
      <c r="AB35" s="581"/>
      <c r="AC35" s="581"/>
      <c r="AD35" s="581"/>
      <c r="AE35" s="582"/>
      <c r="AF35" s="420"/>
      <c r="AG35" s="352"/>
      <c r="AH35" s="352"/>
      <c r="AI35" s="585">
        <f>+'Worksheet (2)'!$N28</f>
        <v>0</v>
      </c>
      <c r="AJ35" s="586"/>
      <c r="AK35" s="587" t="s">
        <v>26</v>
      </c>
      <c r="AL35" s="588"/>
      <c r="AM35" s="589"/>
      <c r="AN35" s="390">
        <f>+'Worksheet (2)'!$L28</f>
        <v>0</v>
      </c>
      <c r="AP35" s="590"/>
      <c r="AQ35" s="591"/>
      <c r="AR35" s="581"/>
      <c r="AS35" s="581"/>
      <c r="AT35" s="581"/>
      <c r="AU35" s="582"/>
      <c r="AV35" s="420"/>
      <c r="AW35" s="352"/>
      <c r="AX35" s="352"/>
      <c r="AY35" s="585">
        <f>+'Worksheet (2)'!$N33</f>
        <v>0</v>
      </c>
      <c r="AZ35" s="586"/>
      <c r="BA35" s="587" t="s">
        <v>26</v>
      </c>
      <c r="BB35" s="588"/>
      <c r="BC35" s="589"/>
      <c r="BD35" s="390">
        <f>+'Worksheet (2)'!$L33</f>
        <v>0</v>
      </c>
      <c r="BF35" s="590"/>
      <c r="BG35" s="591"/>
      <c r="BH35" s="581"/>
      <c r="BI35" s="581"/>
      <c r="BJ35" s="581"/>
      <c r="BK35" s="582"/>
      <c r="BL35" s="420"/>
      <c r="BM35" s="352"/>
      <c r="BN35" s="352"/>
      <c r="BO35" s="585">
        <f>+'Worksheet (2)'!$N38</f>
        <v>0</v>
      </c>
      <c r="BP35" s="586"/>
      <c r="BQ35" s="587" t="s">
        <v>26</v>
      </c>
      <c r="BR35" s="588"/>
      <c r="BS35" s="589"/>
      <c r="BT35" s="390">
        <f>+'Worksheet (2)'!$L38</f>
        <v>0</v>
      </c>
      <c r="BV35" s="590"/>
      <c r="BW35" s="591"/>
      <c r="BX35" s="581"/>
      <c r="BY35" s="581"/>
      <c r="BZ35" s="581"/>
      <c r="CA35" s="582"/>
    </row>
    <row r="36" spans="1:79" ht="20.100000000000001" customHeight="1" x14ac:dyDescent="0.35">
      <c r="C36" s="392" t="s">
        <v>20</v>
      </c>
      <c r="D36" s="393" t="s">
        <v>27</v>
      </c>
      <c r="E36" s="594" t="s">
        <v>28</v>
      </c>
      <c r="F36" s="595"/>
      <c r="G36" s="596"/>
      <c r="H36" s="394" t="str">
        <f>+IF('Worksheet (2)'!$K18&gt;0,'Worksheet (2)'!$K18,"NO facia")</f>
        <v>NO facia</v>
      </c>
      <c r="J36" s="392" t="s">
        <v>20</v>
      </c>
      <c r="K36" s="393" t="s">
        <v>27</v>
      </c>
      <c r="L36" s="581"/>
      <c r="M36" s="581"/>
      <c r="N36" s="581"/>
      <c r="O36" s="582"/>
      <c r="P36" s="420"/>
      <c r="S36" s="392" t="s">
        <v>20</v>
      </c>
      <c r="T36" s="393" t="s">
        <v>27</v>
      </c>
      <c r="U36" s="594" t="s">
        <v>28</v>
      </c>
      <c r="V36" s="595"/>
      <c r="W36" s="596"/>
      <c r="X36" s="394" t="str">
        <f>+IF('Worksheet (2)'!$K23&gt;0,'Worksheet (2)'!$K23,"NO facia")</f>
        <v>NO facia</v>
      </c>
      <c r="Z36" s="392" t="s">
        <v>20</v>
      </c>
      <c r="AA36" s="393" t="s">
        <v>27</v>
      </c>
      <c r="AB36" s="581"/>
      <c r="AC36" s="581"/>
      <c r="AD36" s="581"/>
      <c r="AE36" s="582"/>
      <c r="AF36" s="420"/>
      <c r="AI36" s="392" t="s">
        <v>20</v>
      </c>
      <c r="AJ36" s="393" t="s">
        <v>27</v>
      </c>
      <c r="AK36" s="594" t="s">
        <v>28</v>
      </c>
      <c r="AL36" s="595"/>
      <c r="AM36" s="596"/>
      <c r="AN36" s="394" t="str">
        <f>+IF('Worksheet (2)'!$K28&gt;0,'Worksheet (2)'!$K28,"NO facia")</f>
        <v>NO facia</v>
      </c>
      <c r="AP36" s="392" t="s">
        <v>20</v>
      </c>
      <c r="AQ36" s="393" t="s">
        <v>27</v>
      </c>
      <c r="AR36" s="581"/>
      <c r="AS36" s="581"/>
      <c r="AT36" s="581"/>
      <c r="AU36" s="582"/>
      <c r="AV36" s="420"/>
      <c r="AY36" s="392" t="s">
        <v>20</v>
      </c>
      <c r="AZ36" s="393" t="s">
        <v>27</v>
      </c>
      <c r="BA36" s="594" t="s">
        <v>28</v>
      </c>
      <c r="BB36" s="595"/>
      <c r="BC36" s="596"/>
      <c r="BD36" s="394" t="str">
        <f>+IF('Worksheet (2)'!$K33&gt;0,'Worksheet (2)'!$K33,"NO facia")</f>
        <v>NO facia</v>
      </c>
      <c r="BF36" s="392" t="s">
        <v>20</v>
      </c>
      <c r="BG36" s="393" t="s">
        <v>27</v>
      </c>
      <c r="BH36" s="581"/>
      <c r="BI36" s="581"/>
      <c r="BJ36" s="581"/>
      <c r="BK36" s="582"/>
      <c r="BL36" s="420"/>
      <c r="BO36" s="392" t="s">
        <v>20</v>
      </c>
      <c r="BP36" s="393" t="s">
        <v>27</v>
      </c>
      <c r="BQ36" s="594" t="s">
        <v>28</v>
      </c>
      <c r="BR36" s="595"/>
      <c r="BS36" s="596"/>
      <c r="BT36" s="394" t="str">
        <f>+IF('Worksheet (2)'!$K38&gt;0,'Worksheet (2)'!$K38,"NO facia")</f>
        <v>NO facia</v>
      </c>
      <c r="BV36" s="392" t="s">
        <v>20</v>
      </c>
      <c r="BW36" s="393" t="s">
        <v>27</v>
      </c>
      <c r="BX36" s="581"/>
      <c r="BY36" s="581"/>
      <c r="BZ36" s="581"/>
      <c r="CA36" s="582"/>
    </row>
    <row r="37" spans="1:79" ht="29.1" customHeight="1" x14ac:dyDescent="0.6">
      <c r="C37" s="395">
        <f>'Worksheet (2)'!$AH18</f>
        <v>-1.375</v>
      </c>
      <c r="D37" s="396">
        <f>ROUND(+F32+12,0)</f>
        <v>12</v>
      </c>
      <c r="E37" s="597" t="s">
        <v>29</v>
      </c>
      <c r="F37" s="598"/>
      <c r="G37" s="599"/>
      <c r="H37" s="394" t="str">
        <f>+IF('Worksheet (2)'!$K18&gt;0,"facia brkts","reg. brkts")</f>
        <v>reg. brkts</v>
      </c>
      <c r="J37" s="395">
        <f>C37</f>
        <v>-1.375</v>
      </c>
      <c r="K37" s="396">
        <f>D37</f>
        <v>12</v>
      </c>
      <c r="L37" s="583"/>
      <c r="M37" s="583"/>
      <c r="N37" s="583"/>
      <c r="O37" s="584"/>
      <c r="P37" s="420"/>
      <c r="S37" s="395">
        <f>'Worksheet (2)'!$AH23</f>
        <v>-1.375</v>
      </c>
      <c r="T37" s="396">
        <f>ROUND(+V32+12,0)</f>
        <v>12</v>
      </c>
      <c r="U37" s="597" t="s">
        <v>29</v>
      </c>
      <c r="V37" s="598"/>
      <c r="W37" s="599"/>
      <c r="X37" s="394" t="str">
        <f>+IF('Worksheet (2)'!$K23&gt;0,"facia brkts","reg. brkts")</f>
        <v>reg. brkts</v>
      </c>
      <c r="Z37" s="395">
        <f>S37</f>
        <v>-1.375</v>
      </c>
      <c r="AA37" s="396">
        <f>T37</f>
        <v>12</v>
      </c>
      <c r="AB37" s="583"/>
      <c r="AC37" s="583"/>
      <c r="AD37" s="583"/>
      <c r="AE37" s="584"/>
      <c r="AF37" s="420"/>
      <c r="AI37" s="395">
        <f>'Worksheet (2)'!$AH28</f>
        <v>-1.375</v>
      </c>
      <c r="AJ37" s="396">
        <f>ROUND(+AL32+12,0)</f>
        <v>12</v>
      </c>
      <c r="AK37" s="597" t="s">
        <v>29</v>
      </c>
      <c r="AL37" s="598"/>
      <c r="AM37" s="599"/>
      <c r="AN37" s="394" t="str">
        <f>+IF('Worksheet (2)'!$K28&gt;0,"facia brkts","reg. brkts")</f>
        <v>reg. brkts</v>
      </c>
      <c r="AP37" s="395">
        <f>AI37</f>
        <v>-1.375</v>
      </c>
      <c r="AQ37" s="396">
        <f>AJ37</f>
        <v>12</v>
      </c>
      <c r="AR37" s="583"/>
      <c r="AS37" s="583"/>
      <c r="AT37" s="583"/>
      <c r="AU37" s="584"/>
      <c r="AV37" s="420"/>
      <c r="AY37" s="395">
        <f>'Worksheet (2)'!$AH33</f>
        <v>-1.375</v>
      </c>
      <c r="AZ37" s="396">
        <f>ROUND(+BB32+12,0)</f>
        <v>12</v>
      </c>
      <c r="BA37" s="597" t="s">
        <v>29</v>
      </c>
      <c r="BB37" s="598"/>
      <c r="BC37" s="599"/>
      <c r="BD37" s="394" t="str">
        <f>+IF('Worksheet (2)'!$K33&gt;0,"facia brkts","reg. brkts")</f>
        <v>reg. brkts</v>
      </c>
      <c r="BF37" s="395">
        <f>AY37</f>
        <v>-1.375</v>
      </c>
      <c r="BG37" s="396">
        <f>AZ37</f>
        <v>12</v>
      </c>
      <c r="BH37" s="583"/>
      <c r="BI37" s="583"/>
      <c r="BJ37" s="583"/>
      <c r="BK37" s="584"/>
      <c r="BL37" s="420"/>
      <c r="BO37" s="395">
        <f>'Worksheet (2)'!$AH38</f>
        <v>-1.375</v>
      </c>
      <c r="BP37" s="396">
        <f>ROUND(+BR32+12,0)</f>
        <v>12</v>
      </c>
      <c r="BQ37" s="597" t="s">
        <v>29</v>
      </c>
      <c r="BR37" s="598"/>
      <c r="BS37" s="599"/>
      <c r="BT37" s="394" t="str">
        <f>+IF('Worksheet (2)'!$K38&gt;0,"facia brkts","reg. brkts")</f>
        <v>reg. brkts</v>
      </c>
      <c r="BV37" s="395">
        <f>BO37</f>
        <v>-1.375</v>
      </c>
      <c r="BW37" s="396">
        <f>BP37</f>
        <v>12</v>
      </c>
      <c r="BX37" s="583"/>
      <c r="BY37" s="583"/>
      <c r="BZ37" s="583"/>
      <c r="CA37" s="584"/>
    </row>
    <row r="38" spans="1:79" ht="30" customHeight="1" thickBot="1" x14ac:dyDescent="0.65">
      <c r="C38" s="397"/>
      <c r="D38" s="398" t="str">
        <f>+IF($C32&gt;0,"ROLLERSHADE","do not use")</f>
        <v>do not use</v>
      </c>
      <c r="E38" s="399"/>
      <c r="F38" s="399"/>
      <c r="G38" s="399"/>
      <c r="H38" s="400"/>
      <c r="J38" s="401"/>
      <c r="K38" s="398" t="str">
        <f>+IF(C32&gt;0,"TUBE SIZE","do not use")</f>
        <v>do not use</v>
      </c>
      <c r="L38" s="399"/>
      <c r="M38" s="408" t="str">
        <f>IF(K38="TUBE SIZE",C32,IF('Worksheet (2)'!E40="Fabric ONLY","Fabric ONLY"," "))</f>
        <v xml:space="preserve"> </v>
      </c>
      <c r="N38" s="399"/>
      <c r="O38" s="400"/>
      <c r="P38" s="384"/>
      <c r="S38" s="397"/>
      <c r="T38" s="398" t="str">
        <f>+IF($T32&gt;0,"ROLLERSHADE","do not use")</f>
        <v>do not use</v>
      </c>
      <c r="U38" s="399"/>
      <c r="V38" s="399"/>
      <c r="W38" s="399"/>
      <c r="X38" s="400"/>
      <c r="Z38" s="401"/>
      <c r="AA38" s="398" t="str">
        <f>+IF(S32&gt;0,"TUBE SIZE","do not use")</f>
        <v>do not use</v>
      </c>
      <c r="AB38" s="399"/>
      <c r="AC38" s="408" t="str">
        <f>IF(AA38="TUBE SIZE",S32,IF('Worksheet (2)'!U40="Fabric ONLY","Fabric ONLY"," "))</f>
        <v xml:space="preserve"> </v>
      </c>
      <c r="AD38" s="399"/>
      <c r="AE38" s="400"/>
      <c r="AF38" s="384"/>
      <c r="AI38" s="397"/>
      <c r="AJ38" s="398" t="str">
        <f>+IF($AI32&gt;0,"ROLLERSHADE","do not use")</f>
        <v>do not use</v>
      </c>
      <c r="AK38" s="399"/>
      <c r="AL38" s="399"/>
      <c r="AM38" s="399"/>
      <c r="AN38" s="400"/>
      <c r="AP38" s="401"/>
      <c r="AQ38" s="398" t="str">
        <f>+IF(AI32&gt;0,"TUBE SIZE","do not use")</f>
        <v>do not use</v>
      </c>
      <c r="AR38" s="399"/>
      <c r="AS38" s="408" t="str">
        <f>IF(AQ38="TUBE SIZE",AI32,IF('Worksheet (2)'!AR40="Fabric ONLY","Fabric ONLY"," "))</f>
        <v xml:space="preserve"> </v>
      </c>
      <c r="AT38" s="399"/>
      <c r="AU38" s="400"/>
      <c r="AV38" s="384"/>
      <c r="AY38" s="397"/>
      <c r="AZ38" s="398" t="str">
        <f>+IF($AY32&gt;0,"ROLLERSHADE","do not use")</f>
        <v>do not use</v>
      </c>
      <c r="BA38" s="399"/>
      <c r="BB38" s="399"/>
      <c r="BC38" s="399"/>
      <c r="BD38" s="400"/>
      <c r="BF38" s="401"/>
      <c r="BG38" s="398" t="str">
        <f>+IF(AY32&gt;0,"TUBE SIZE","do not use")</f>
        <v>do not use</v>
      </c>
      <c r="BH38" s="399"/>
      <c r="BI38" s="408" t="str">
        <f>IF(BG38="TUBE SIZE",AY32,IF('Worksheet (2)'!BH40="Fabric ONLY","Fabric ONLY"," "))</f>
        <v xml:space="preserve"> </v>
      </c>
      <c r="BJ38" s="399"/>
      <c r="BK38" s="400"/>
      <c r="BL38" s="384"/>
      <c r="BO38" s="397"/>
      <c r="BP38" s="398" t="str">
        <f>+IF($BO32&gt;0,"ROLLERSHADE","do not use")</f>
        <v>do not use</v>
      </c>
      <c r="BQ38" s="399"/>
      <c r="BR38" s="399"/>
      <c r="BS38" s="399"/>
      <c r="BT38" s="400"/>
      <c r="BV38" s="401"/>
      <c r="BW38" s="398" t="str">
        <f>+IF(BO32&gt;0,"TUBE SIZE","do not use")</f>
        <v>do not use</v>
      </c>
      <c r="BX38" s="399"/>
      <c r="BY38" s="408" t="str">
        <f>IF(BW38="TUBE SIZE",BO32,IF('Worksheet (2)'!BX40="Fabric ONLY","Fabric ONLY"," "))</f>
        <v xml:space="preserve"> </v>
      </c>
      <c r="BZ38" s="399"/>
      <c r="CA38" s="400"/>
    </row>
    <row r="39" spans="1:79" ht="59.25" customHeight="1" thickBot="1" x14ac:dyDescent="0.35">
      <c r="C39" s="384"/>
      <c r="D39" s="384"/>
      <c r="E39" s="384"/>
      <c r="F39" s="384"/>
      <c r="G39" s="384"/>
      <c r="H39" s="384"/>
      <c r="S39" s="384"/>
      <c r="T39" s="384"/>
      <c r="U39" s="384"/>
      <c r="V39" s="384"/>
      <c r="W39" s="384"/>
      <c r="X39" s="384"/>
      <c r="AI39" s="384"/>
      <c r="AJ39" s="384"/>
      <c r="AK39" s="384"/>
      <c r="AL39" s="384"/>
      <c r="AM39" s="384"/>
      <c r="AN39" s="384"/>
      <c r="AY39" s="384"/>
      <c r="AZ39" s="384"/>
      <c r="BA39" s="384"/>
      <c r="BB39" s="384"/>
      <c r="BC39" s="384"/>
      <c r="BD39" s="384"/>
      <c r="BO39" s="384"/>
      <c r="BP39" s="384"/>
      <c r="BQ39" s="384"/>
      <c r="BR39" s="384"/>
      <c r="BS39" s="384"/>
      <c r="BT39" s="384"/>
    </row>
    <row r="40" spans="1:79" ht="20.25" customHeight="1" thickBot="1" x14ac:dyDescent="0.7">
      <c r="A40" s="352" t="s">
        <v>51</v>
      </c>
      <c r="B40" s="352" t="s">
        <v>2484</v>
      </c>
      <c r="C40" s="359" t="s">
        <v>21</v>
      </c>
      <c r="D40" s="564">
        <f>+jobnumber</f>
        <v>33303</v>
      </c>
      <c r="E40" s="565"/>
      <c r="F40" s="565"/>
      <c r="G40" s="566"/>
      <c r="H40" s="567" t="str">
        <f>+'Worksheet (2)'!$B19</f>
        <v>P2-RS4</v>
      </c>
      <c r="J40" s="359" t="s">
        <v>21</v>
      </c>
      <c r="K40" s="360">
        <f>+jobnumber</f>
        <v>33303</v>
      </c>
      <c r="L40" s="361"/>
      <c r="M40" s="361"/>
      <c r="N40" s="361"/>
      <c r="O40" s="567" t="str">
        <f>+H40</f>
        <v>P2-RS4</v>
      </c>
      <c r="P40" s="362"/>
      <c r="Q40" s="352" t="s">
        <v>56</v>
      </c>
      <c r="R40" s="352" t="s">
        <v>2489</v>
      </c>
      <c r="S40" s="359" t="s">
        <v>21</v>
      </c>
      <c r="T40" s="564">
        <f>+jobnumber</f>
        <v>33303</v>
      </c>
      <c r="U40" s="565"/>
      <c r="V40" s="565"/>
      <c r="W40" s="566"/>
      <c r="X40" s="567" t="str">
        <f>+'Worksheet (2)'!$B24</f>
        <v>P2-RS9</v>
      </c>
      <c r="Z40" s="359" t="s">
        <v>21</v>
      </c>
      <c r="AA40" s="360">
        <f>+jobnumber</f>
        <v>33303</v>
      </c>
      <c r="AB40" s="361"/>
      <c r="AC40" s="361"/>
      <c r="AD40" s="361"/>
      <c r="AE40" s="567" t="str">
        <f>+X40</f>
        <v>P2-RS9</v>
      </c>
      <c r="AF40" s="362"/>
      <c r="AG40" s="352" t="s">
        <v>62</v>
      </c>
      <c r="AH40" s="352" t="s">
        <v>2494</v>
      </c>
      <c r="AI40" s="359" t="s">
        <v>21</v>
      </c>
      <c r="AJ40" s="564">
        <f>+jobnumber</f>
        <v>33303</v>
      </c>
      <c r="AK40" s="565"/>
      <c r="AL40" s="565"/>
      <c r="AM40" s="566"/>
      <c r="AN40" s="567" t="str">
        <f>+'Worksheet (2)'!$B29</f>
        <v>P2-RS14</v>
      </c>
      <c r="AP40" s="359" t="s">
        <v>21</v>
      </c>
      <c r="AQ40" s="360">
        <f>+jobnumber</f>
        <v>33303</v>
      </c>
      <c r="AR40" s="361"/>
      <c r="AS40" s="361"/>
      <c r="AT40" s="361"/>
      <c r="AU40" s="567" t="str">
        <f>+AN40</f>
        <v>P2-RS14</v>
      </c>
      <c r="AV40" s="362"/>
      <c r="AW40" s="352" t="s">
        <v>67</v>
      </c>
      <c r="AX40" s="352" t="s">
        <v>2499</v>
      </c>
      <c r="AY40" s="359" t="s">
        <v>21</v>
      </c>
      <c r="AZ40" s="564">
        <f>+jobnumber</f>
        <v>33303</v>
      </c>
      <c r="BA40" s="565"/>
      <c r="BB40" s="565"/>
      <c r="BC40" s="566"/>
      <c r="BD40" s="567" t="str">
        <f>+'Worksheet (2)'!$B34</f>
        <v>P2-RS19</v>
      </c>
      <c r="BF40" s="359" t="s">
        <v>21</v>
      </c>
      <c r="BG40" s="360">
        <f>+jobnumber</f>
        <v>33303</v>
      </c>
      <c r="BH40" s="361"/>
      <c r="BI40" s="361"/>
      <c r="BJ40" s="361"/>
      <c r="BK40" s="567" t="str">
        <f>+BD40</f>
        <v>P2-RS19</v>
      </c>
      <c r="BL40" s="362"/>
      <c r="BM40" s="352" t="s">
        <v>180</v>
      </c>
      <c r="BN40" s="352" t="s">
        <v>2504</v>
      </c>
      <c r="BO40" s="359" t="s">
        <v>21</v>
      </c>
      <c r="BP40" s="564">
        <f>+jobnumber</f>
        <v>33303</v>
      </c>
      <c r="BQ40" s="565"/>
      <c r="BR40" s="565"/>
      <c r="BS40" s="566"/>
      <c r="BT40" s="567" t="str">
        <f>+'Worksheet (2)'!$B39</f>
        <v>P2-RS24</v>
      </c>
      <c r="BV40" s="359" t="s">
        <v>21</v>
      </c>
      <c r="BW40" s="360">
        <f>+jobnumber</f>
        <v>33303</v>
      </c>
      <c r="BX40" s="361"/>
      <c r="BY40" s="361"/>
      <c r="BZ40" s="361"/>
      <c r="CA40" s="567" t="str">
        <f>+BT40</f>
        <v>P2-RS24</v>
      </c>
    </row>
    <row r="41" spans="1:79" ht="20.25" customHeight="1" thickBot="1" x14ac:dyDescent="0.7">
      <c r="C41" s="363" t="s">
        <v>2626</v>
      </c>
      <c r="D41" s="569" t="str">
        <f>+_xlfn.SINGLE(bill_name)</f>
        <v>JLL</v>
      </c>
      <c r="E41" s="570"/>
      <c r="F41" s="570"/>
      <c r="G41" s="571"/>
      <c r="H41" s="568"/>
      <c r="J41" s="365" t="s">
        <v>22</v>
      </c>
      <c r="K41" s="366" t="str">
        <f>+_xlfn.SINGLE(bill_name)</f>
        <v>JLL</v>
      </c>
      <c r="L41" s="367"/>
      <c r="M41" s="367"/>
      <c r="N41" s="367"/>
      <c r="O41" s="568"/>
      <c r="P41" s="362"/>
      <c r="S41" s="363" t="s">
        <v>2626</v>
      </c>
      <c r="T41" s="569" t="str">
        <f>+_xlfn.SINGLE(bill_name)</f>
        <v>JLL</v>
      </c>
      <c r="U41" s="570"/>
      <c r="V41" s="570"/>
      <c r="W41" s="571"/>
      <c r="X41" s="568"/>
      <c r="Z41" s="365" t="s">
        <v>22</v>
      </c>
      <c r="AA41" s="366" t="str">
        <f>+_xlfn.SINGLE(bill_name)</f>
        <v>JLL</v>
      </c>
      <c r="AB41" s="367"/>
      <c r="AC41" s="367"/>
      <c r="AD41" s="367"/>
      <c r="AE41" s="568"/>
      <c r="AF41" s="362"/>
      <c r="AI41" s="363" t="s">
        <v>2626</v>
      </c>
      <c r="AJ41" s="569" t="str">
        <f>+_xlfn.SINGLE(bill_name)</f>
        <v>JLL</v>
      </c>
      <c r="AK41" s="570"/>
      <c r="AL41" s="570"/>
      <c r="AM41" s="571"/>
      <c r="AN41" s="568"/>
      <c r="AP41" s="365" t="s">
        <v>22</v>
      </c>
      <c r="AQ41" s="366" t="str">
        <f>+_xlfn.SINGLE(bill_name)</f>
        <v>JLL</v>
      </c>
      <c r="AR41" s="367"/>
      <c r="AS41" s="367"/>
      <c r="AT41" s="367"/>
      <c r="AU41" s="568"/>
      <c r="AV41" s="362"/>
      <c r="AY41" s="363" t="s">
        <v>2626</v>
      </c>
      <c r="AZ41" s="569" t="str">
        <f>+_xlfn.SINGLE(bill_name)</f>
        <v>JLL</v>
      </c>
      <c r="BA41" s="570"/>
      <c r="BB41" s="570"/>
      <c r="BC41" s="571"/>
      <c r="BD41" s="568"/>
      <c r="BF41" s="365" t="s">
        <v>22</v>
      </c>
      <c r="BG41" s="366" t="str">
        <f>+_xlfn.SINGLE(bill_name)</f>
        <v>JLL</v>
      </c>
      <c r="BH41" s="367"/>
      <c r="BI41" s="367"/>
      <c r="BJ41" s="367"/>
      <c r="BK41" s="568"/>
      <c r="BL41" s="362"/>
      <c r="BO41" s="363" t="s">
        <v>2626</v>
      </c>
      <c r="BP41" s="569" t="str">
        <f>+_xlfn.SINGLE(bill_name)</f>
        <v>JLL</v>
      </c>
      <c r="BQ41" s="570"/>
      <c r="BR41" s="570"/>
      <c r="BS41" s="571"/>
      <c r="BT41" s="568"/>
      <c r="BV41" s="365" t="s">
        <v>22</v>
      </c>
      <c r="BW41" s="366" t="str">
        <f>+_xlfn.SINGLE(bill_name)</f>
        <v>JLL</v>
      </c>
      <c r="BX41" s="367"/>
      <c r="BY41" s="367"/>
      <c r="BZ41" s="367"/>
      <c r="CA41" s="568"/>
    </row>
    <row r="42" spans="1:79" s="364" customFormat="1" ht="21" x14ac:dyDescent="0.4">
      <c r="A42" s="352"/>
      <c r="B42" s="352"/>
      <c r="C42" s="368" t="s">
        <v>2627</v>
      </c>
      <c r="D42" s="572" t="str">
        <f>+jobname</f>
        <v>Cottonwood Creek WO#I5187109-00104</v>
      </c>
      <c r="E42" s="573"/>
      <c r="F42" s="573"/>
      <c r="G42" s="573"/>
      <c r="H42" s="574"/>
      <c r="J42" s="369" t="s">
        <v>78</v>
      </c>
      <c r="K42" s="370" t="str">
        <f>+jobname</f>
        <v>Cottonwood Creek WO#I5187109-00104</v>
      </c>
      <c r="L42" s="371"/>
      <c r="M42" s="371"/>
      <c r="N42" s="371"/>
      <c r="O42" s="372"/>
      <c r="P42" s="373"/>
      <c r="Q42" s="352"/>
      <c r="R42" s="352"/>
      <c r="S42" s="368" t="s">
        <v>2627</v>
      </c>
      <c r="T42" s="572" t="str">
        <f>+jobname</f>
        <v>Cottonwood Creek WO#I5187109-00104</v>
      </c>
      <c r="U42" s="573"/>
      <c r="V42" s="573"/>
      <c r="W42" s="573"/>
      <c r="X42" s="574"/>
      <c r="Z42" s="369" t="s">
        <v>78</v>
      </c>
      <c r="AA42" s="370" t="str">
        <f>+jobname</f>
        <v>Cottonwood Creek WO#I5187109-00104</v>
      </c>
      <c r="AB42" s="371"/>
      <c r="AC42" s="371"/>
      <c r="AD42" s="371"/>
      <c r="AE42" s="372"/>
      <c r="AF42" s="373"/>
      <c r="AG42" s="352"/>
      <c r="AH42" s="352"/>
      <c r="AI42" s="368" t="s">
        <v>2627</v>
      </c>
      <c r="AJ42" s="572" t="str">
        <f>+jobname</f>
        <v>Cottonwood Creek WO#I5187109-00104</v>
      </c>
      <c r="AK42" s="573"/>
      <c r="AL42" s="573"/>
      <c r="AM42" s="573"/>
      <c r="AN42" s="574"/>
      <c r="AP42" s="369" t="s">
        <v>78</v>
      </c>
      <c r="AQ42" s="370" t="str">
        <f>+jobname</f>
        <v>Cottonwood Creek WO#I5187109-00104</v>
      </c>
      <c r="AR42" s="371"/>
      <c r="AS42" s="371"/>
      <c r="AT42" s="371"/>
      <c r="AU42" s="372"/>
      <c r="AV42" s="373"/>
      <c r="AW42" s="352"/>
      <c r="AX42" s="352"/>
      <c r="AY42" s="368" t="s">
        <v>2627</v>
      </c>
      <c r="AZ42" s="572" t="str">
        <f>+jobname</f>
        <v>Cottonwood Creek WO#I5187109-00104</v>
      </c>
      <c r="BA42" s="573"/>
      <c r="BB42" s="573"/>
      <c r="BC42" s="573"/>
      <c r="BD42" s="574"/>
      <c r="BF42" s="369" t="s">
        <v>78</v>
      </c>
      <c r="BG42" s="370" t="str">
        <f>+jobname</f>
        <v>Cottonwood Creek WO#I5187109-00104</v>
      </c>
      <c r="BH42" s="371"/>
      <c r="BI42" s="371"/>
      <c r="BJ42" s="371"/>
      <c r="BK42" s="372"/>
      <c r="BL42" s="373"/>
      <c r="BM42" s="352"/>
      <c r="BN42" s="352"/>
      <c r="BO42" s="368" t="s">
        <v>2627</v>
      </c>
      <c r="BP42" s="572" t="str">
        <f>+jobname</f>
        <v>Cottonwood Creek WO#I5187109-00104</v>
      </c>
      <c r="BQ42" s="573"/>
      <c r="BR42" s="573"/>
      <c r="BS42" s="573"/>
      <c r="BT42" s="574"/>
      <c r="BV42" s="369" t="s">
        <v>78</v>
      </c>
      <c r="BW42" s="370" t="str">
        <f>+jobname</f>
        <v>Cottonwood Creek WO#I5187109-00104</v>
      </c>
      <c r="BX42" s="371"/>
      <c r="BY42" s="371"/>
      <c r="BZ42" s="371"/>
      <c r="CA42" s="372"/>
    </row>
    <row r="43" spans="1:79" ht="18" x14ac:dyDescent="0.35">
      <c r="C43" s="374" t="s">
        <v>23</v>
      </c>
      <c r="D43" s="575">
        <f>+'Worksheet (2)'!$C19</f>
        <v>0</v>
      </c>
      <c r="E43" s="576"/>
      <c r="F43" s="576"/>
      <c r="G43" s="371"/>
      <c r="H43" s="375" t="str">
        <f>+IF('Worksheet (2)'!$O$9=1,"Install",IF('Worksheet (2)'!$O$9=2,"Deliver",IF('Worksheet (2)'!$O$9=3,"Will Call",0)))</f>
        <v>Install</v>
      </c>
      <c r="J43" s="374" t="s">
        <v>23</v>
      </c>
      <c r="K43" s="373">
        <f>D43</f>
        <v>0</v>
      </c>
      <c r="L43" s="371"/>
      <c r="M43" s="371"/>
      <c r="N43" s="371"/>
      <c r="O43" s="376" t="str">
        <f>H43</f>
        <v>Install</v>
      </c>
      <c r="P43" s="373"/>
      <c r="S43" s="374" t="s">
        <v>23</v>
      </c>
      <c r="T43" s="575">
        <f>+'Worksheet (2)'!$C24</f>
        <v>0</v>
      </c>
      <c r="U43" s="576"/>
      <c r="V43" s="576"/>
      <c r="W43" s="371"/>
      <c r="X43" s="375" t="str">
        <f>+IF('Worksheet (2)'!$O$9=1,"Install",IF('Worksheet (2)'!$O$9=2,"Deliver",IF('Worksheet (2)'!$O$9=3,"Will Call",0)))</f>
        <v>Install</v>
      </c>
      <c r="Z43" s="374" t="s">
        <v>23</v>
      </c>
      <c r="AA43" s="373">
        <f>T43</f>
        <v>0</v>
      </c>
      <c r="AB43" s="371"/>
      <c r="AC43" s="371"/>
      <c r="AD43" s="371"/>
      <c r="AE43" s="376" t="str">
        <f>X43</f>
        <v>Install</v>
      </c>
      <c r="AF43" s="373"/>
      <c r="AI43" s="374" t="s">
        <v>23</v>
      </c>
      <c r="AJ43" s="575">
        <f>+'Worksheet (2)'!$C29</f>
        <v>0</v>
      </c>
      <c r="AK43" s="576"/>
      <c r="AL43" s="576"/>
      <c r="AM43" s="371"/>
      <c r="AN43" s="375" t="str">
        <f>+IF('Worksheet (2)'!$O$9=1,"Install",IF('Worksheet (2)'!$O$9=2,"Deliver",IF('Worksheet (2)'!$O$9=3,"Will Call",0)))</f>
        <v>Install</v>
      </c>
      <c r="AP43" s="374" t="s">
        <v>23</v>
      </c>
      <c r="AQ43" s="373">
        <f>AJ43</f>
        <v>0</v>
      </c>
      <c r="AR43" s="371"/>
      <c r="AS43" s="371"/>
      <c r="AT43" s="371"/>
      <c r="AU43" s="376" t="str">
        <f>AN43</f>
        <v>Install</v>
      </c>
      <c r="AV43" s="373"/>
      <c r="AY43" s="374" t="s">
        <v>23</v>
      </c>
      <c r="AZ43" s="575">
        <f>+'Worksheet (2)'!$C34</f>
        <v>0</v>
      </c>
      <c r="BA43" s="576"/>
      <c r="BB43" s="576"/>
      <c r="BC43" s="371"/>
      <c r="BD43" s="375" t="str">
        <f>+IF('Worksheet (2)'!$O$9=1,"Install",IF('Worksheet (2)'!$O$9=2,"Deliver",IF('Worksheet (2)'!$O$9=3,"Will Call",0)))</f>
        <v>Install</v>
      </c>
      <c r="BF43" s="374" t="s">
        <v>23</v>
      </c>
      <c r="BG43" s="373">
        <f>AZ43</f>
        <v>0</v>
      </c>
      <c r="BH43" s="371"/>
      <c r="BI43" s="371"/>
      <c r="BJ43" s="371"/>
      <c r="BK43" s="376" t="str">
        <f>BD43</f>
        <v>Install</v>
      </c>
      <c r="BL43" s="373"/>
      <c r="BO43" s="374" t="s">
        <v>23</v>
      </c>
      <c r="BP43" s="575">
        <f>+'Worksheet (2)'!$C39</f>
        <v>0</v>
      </c>
      <c r="BQ43" s="576"/>
      <c r="BR43" s="576"/>
      <c r="BS43" s="371"/>
      <c r="BT43" s="375" t="str">
        <f>+IF('Worksheet (2)'!$O$9=1,"Install",IF('Worksheet (2)'!$O$9=2,"Deliver",IF('Worksheet (2)'!$O$9=3,"Will Call",0)))</f>
        <v>Install</v>
      </c>
      <c r="BV43" s="374" t="s">
        <v>23</v>
      </c>
      <c r="BW43" s="373">
        <f>BP43</f>
        <v>0</v>
      </c>
      <c r="BX43" s="371"/>
      <c r="BY43" s="371"/>
      <c r="BZ43" s="371"/>
      <c r="CA43" s="376" t="str">
        <f>BT43</f>
        <v>Install</v>
      </c>
    </row>
    <row r="44" spans="1:79" s="364" customFormat="1" ht="18" x14ac:dyDescent="0.35">
      <c r="A44" s="352"/>
      <c r="B44" s="352"/>
      <c r="C44" s="377">
        <f>+IF('Worksheet (2)'!$D19&gt;0,'Worksheet (2)'!$E19,0)</f>
        <v>0</v>
      </c>
      <c r="D44" s="378">
        <f>+'Worksheet (2)'!$F19</f>
        <v>0</v>
      </c>
      <c r="E44" s="379" t="s">
        <v>4</v>
      </c>
      <c r="F44" s="378">
        <f>+'Worksheet (2)'!$H19</f>
        <v>0</v>
      </c>
      <c r="G44" s="380"/>
      <c r="H44" s="381">
        <f>+'Worksheet (2)'!$I19</f>
        <v>0</v>
      </c>
      <c r="J44" s="377"/>
      <c r="N44" s="380"/>
      <c r="O44" s="381">
        <f>H44</f>
        <v>0</v>
      </c>
      <c r="P44" s="382"/>
      <c r="Q44" s="352"/>
      <c r="R44" s="352"/>
      <c r="S44" s="377">
        <f>+IF('Worksheet (2)'!$D24&gt;0,'Worksheet (2)'!$E24,0)</f>
        <v>0</v>
      </c>
      <c r="T44" s="378">
        <f>+'Worksheet (2)'!$F24</f>
        <v>0</v>
      </c>
      <c r="U44" s="379" t="s">
        <v>4</v>
      </c>
      <c r="V44" s="378">
        <f>+'Worksheet (2)'!$H24</f>
        <v>0</v>
      </c>
      <c r="W44" s="380"/>
      <c r="X44" s="381">
        <f>+'Worksheet (2)'!$I24</f>
        <v>0</v>
      </c>
      <c r="Z44" s="377"/>
      <c r="AD44" s="380"/>
      <c r="AE44" s="381">
        <f>X44</f>
        <v>0</v>
      </c>
      <c r="AF44" s="382"/>
      <c r="AG44" s="352"/>
      <c r="AH44" s="352"/>
      <c r="AI44" s="377">
        <f>+IF('Worksheet (2)'!$D29&gt;0,'Worksheet (2)'!$E29,0)</f>
        <v>0</v>
      </c>
      <c r="AJ44" s="378">
        <f>+'Worksheet (2)'!$F29</f>
        <v>0</v>
      </c>
      <c r="AK44" s="379" t="s">
        <v>4</v>
      </c>
      <c r="AL44" s="378">
        <f>+'Worksheet (2)'!$H29</f>
        <v>0</v>
      </c>
      <c r="AM44" s="380"/>
      <c r="AN44" s="381">
        <f>+'Worksheet (2)'!$I29</f>
        <v>0</v>
      </c>
      <c r="AP44" s="377"/>
      <c r="AT44" s="380"/>
      <c r="AU44" s="381">
        <f>AN44</f>
        <v>0</v>
      </c>
      <c r="AV44" s="382"/>
      <c r="AW44" s="352"/>
      <c r="AX44" s="352"/>
      <c r="AY44" s="377">
        <f>+IF('Worksheet (2)'!$D34&gt;0,'Worksheet (2)'!$E34,0)</f>
        <v>0</v>
      </c>
      <c r="AZ44" s="378">
        <f>+'Worksheet (2)'!$F34</f>
        <v>0</v>
      </c>
      <c r="BA44" s="379" t="s">
        <v>4</v>
      </c>
      <c r="BB44" s="378">
        <f>+'Worksheet (2)'!$H34</f>
        <v>0</v>
      </c>
      <c r="BC44" s="380"/>
      <c r="BD44" s="381">
        <f>+'Worksheet (2)'!$I34</f>
        <v>0</v>
      </c>
      <c r="BF44" s="377"/>
      <c r="BJ44" s="380"/>
      <c r="BK44" s="381">
        <f>BD44</f>
        <v>0</v>
      </c>
      <c r="BL44" s="382"/>
      <c r="BM44" s="352"/>
      <c r="BN44" s="352"/>
      <c r="BO44" s="377">
        <f>+IF('Worksheet (2)'!$D39&gt;0,'Worksheet (2)'!$E39,0)</f>
        <v>0</v>
      </c>
      <c r="BP44" s="378">
        <f>+'Worksheet (2)'!$F39</f>
        <v>0</v>
      </c>
      <c r="BQ44" s="379" t="s">
        <v>4</v>
      </c>
      <c r="BR44" s="378">
        <f>+'Worksheet (2)'!$H39</f>
        <v>0</v>
      </c>
      <c r="BS44" s="380"/>
      <c r="BT44" s="381">
        <f>+'Worksheet (2)'!$I39</f>
        <v>0</v>
      </c>
      <c r="BV44" s="377"/>
      <c r="BZ44" s="380"/>
      <c r="CA44" s="381">
        <f>BT44</f>
        <v>0</v>
      </c>
    </row>
    <row r="45" spans="1:79" ht="18" x14ac:dyDescent="0.35">
      <c r="C45" s="383" t="s">
        <v>19</v>
      </c>
      <c r="D45" s="592">
        <f>+'Worksheet (2)'!$M19</f>
        <v>0</v>
      </c>
      <c r="E45" s="593"/>
      <c r="F45" s="593"/>
      <c r="G45" s="384"/>
      <c r="H45" s="385"/>
      <c r="J45" s="374" t="s">
        <v>2594</v>
      </c>
      <c r="K45" s="378">
        <f>D44</f>
        <v>0</v>
      </c>
      <c r="L45" s="378" t="str">
        <f>+E44</f>
        <v>X</v>
      </c>
      <c r="M45" s="378">
        <f>F44</f>
        <v>0</v>
      </c>
      <c r="N45" s="384"/>
      <c r="O45" s="385"/>
      <c r="P45" s="384"/>
      <c r="S45" s="383" t="s">
        <v>19</v>
      </c>
      <c r="T45" s="592">
        <f>+'Worksheet (2)'!$M24</f>
        <v>0</v>
      </c>
      <c r="U45" s="593"/>
      <c r="V45" s="593"/>
      <c r="W45" s="384"/>
      <c r="X45" s="385"/>
      <c r="Z45" s="374" t="s">
        <v>2594</v>
      </c>
      <c r="AA45" s="378">
        <f>T44</f>
        <v>0</v>
      </c>
      <c r="AB45" s="378" t="str">
        <f>+U44</f>
        <v>X</v>
      </c>
      <c r="AC45" s="378">
        <f>V44</f>
        <v>0</v>
      </c>
      <c r="AD45" s="384"/>
      <c r="AE45" s="385"/>
      <c r="AF45" s="384"/>
      <c r="AI45" s="383" t="s">
        <v>19</v>
      </c>
      <c r="AJ45" s="592">
        <f>+'Worksheet (2)'!$M29</f>
        <v>0</v>
      </c>
      <c r="AK45" s="593"/>
      <c r="AL45" s="593"/>
      <c r="AM45" s="384"/>
      <c r="AN45" s="385"/>
      <c r="AP45" s="374" t="s">
        <v>2594</v>
      </c>
      <c r="AQ45" s="378">
        <f>AJ44</f>
        <v>0</v>
      </c>
      <c r="AR45" s="378" t="str">
        <f>+AK44</f>
        <v>X</v>
      </c>
      <c r="AS45" s="378">
        <f>AL44</f>
        <v>0</v>
      </c>
      <c r="AT45" s="384"/>
      <c r="AU45" s="385"/>
      <c r="AV45" s="384"/>
      <c r="AY45" s="383" t="s">
        <v>19</v>
      </c>
      <c r="AZ45" s="592">
        <f>+'Worksheet (2)'!$M34</f>
        <v>0</v>
      </c>
      <c r="BA45" s="593"/>
      <c r="BB45" s="593"/>
      <c r="BC45" s="384"/>
      <c r="BD45" s="385"/>
      <c r="BF45" s="374" t="s">
        <v>2594</v>
      </c>
      <c r="BG45" s="378">
        <f>AZ44</f>
        <v>0</v>
      </c>
      <c r="BH45" s="378" t="str">
        <f>+BA44</f>
        <v>X</v>
      </c>
      <c r="BI45" s="378">
        <f>BB44</f>
        <v>0</v>
      </c>
      <c r="BJ45" s="384"/>
      <c r="BK45" s="385"/>
      <c r="BL45" s="384"/>
      <c r="BO45" s="383" t="s">
        <v>19</v>
      </c>
      <c r="BP45" s="592">
        <f>+'Worksheet (2)'!$M39</f>
        <v>0</v>
      </c>
      <c r="BQ45" s="593"/>
      <c r="BR45" s="593"/>
      <c r="BS45" s="384"/>
      <c r="BT45" s="385"/>
      <c r="BV45" s="374" t="s">
        <v>2594</v>
      </c>
      <c r="BW45" s="378">
        <f>BP44</f>
        <v>0</v>
      </c>
      <c r="BX45" s="378" t="str">
        <f>+BQ44</f>
        <v>X</v>
      </c>
      <c r="BY45" s="378">
        <f>BR44</f>
        <v>0</v>
      </c>
      <c r="BZ45" s="384"/>
      <c r="CA45" s="385"/>
    </row>
    <row r="46" spans="1:79" ht="18" x14ac:dyDescent="0.35">
      <c r="C46" s="386" t="s">
        <v>24</v>
      </c>
      <c r="D46" s="387">
        <f>+IF('Worksheet (2)'!$O19="V","fabric verticle",IF('Worksheet (2)'!$O19="RR","fabric Railroad",0))</f>
        <v>0</v>
      </c>
      <c r="E46" s="594" t="s">
        <v>25</v>
      </c>
      <c r="F46" s="595"/>
      <c r="G46" s="596"/>
      <c r="H46" s="388" t="str">
        <f>+IF('Worksheet (2)'!$J19&gt;0,'Worksheet (2)'!$J19,"NO")</f>
        <v>NO</v>
      </c>
      <c r="J46" s="377"/>
      <c r="K46" s="389"/>
      <c r="L46" s="580" t="s">
        <v>2593</v>
      </c>
      <c r="M46" s="581"/>
      <c r="N46" s="581"/>
      <c r="O46" s="582"/>
      <c r="P46" s="420"/>
      <c r="S46" s="386" t="s">
        <v>24</v>
      </c>
      <c r="T46" s="387">
        <f>+IF('Worksheet (2)'!$O24="V","fabric verticle",IF('Worksheet (2)'!$O24="RR","fabric Railroad",0))</f>
        <v>0</v>
      </c>
      <c r="U46" s="594" t="s">
        <v>25</v>
      </c>
      <c r="V46" s="595"/>
      <c r="W46" s="596"/>
      <c r="X46" s="388" t="str">
        <f>+IF('Worksheet (2)'!$J24&gt;0,'Worksheet (2)'!$J24,"NO")</f>
        <v>NO</v>
      </c>
      <c r="Z46" s="377"/>
      <c r="AA46" s="389"/>
      <c r="AB46" s="580" t="s">
        <v>2593</v>
      </c>
      <c r="AC46" s="581"/>
      <c r="AD46" s="581"/>
      <c r="AE46" s="582"/>
      <c r="AF46" s="420"/>
      <c r="AI46" s="386" t="s">
        <v>24</v>
      </c>
      <c r="AJ46" s="387">
        <f>+IF('Worksheet (2)'!$O29="V","fabric verticle",IF('Worksheet (2)'!$O29="RR","fabric Railroad",0))</f>
        <v>0</v>
      </c>
      <c r="AK46" s="594" t="s">
        <v>25</v>
      </c>
      <c r="AL46" s="595"/>
      <c r="AM46" s="596"/>
      <c r="AN46" s="388" t="str">
        <f>+IF('Worksheet (2)'!$J29&gt;0,'Worksheet (2)'!$J29,"NO")</f>
        <v>NO</v>
      </c>
      <c r="AP46" s="377"/>
      <c r="AQ46" s="389"/>
      <c r="AR46" s="580" t="s">
        <v>2593</v>
      </c>
      <c r="AS46" s="581"/>
      <c r="AT46" s="581"/>
      <c r="AU46" s="582"/>
      <c r="AV46" s="420"/>
      <c r="AY46" s="386" t="s">
        <v>24</v>
      </c>
      <c r="AZ46" s="387">
        <f>+IF('Worksheet (2)'!$O34="V","fabric verticle",IF('Worksheet (2)'!$O34="RR","fabric Railroad",0))</f>
        <v>0</v>
      </c>
      <c r="BA46" s="594" t="s">
        <v>25</v>
      </c>
      <c r="BB46" s="595"/>
      <c r="BC46" s="596"/>
      <c r="BD46" s="388" t="str">
        <f>+IF('Worksheet (2)'!$J34&gt;0,'Worksheet (2)'!$J34,"NO")</f>
        <v>NO</v>
      </c>
      <c r="BF46" s="377"/>
      <c r="BG46" s="389"/>
      <c r="BH46" s="580" t="s">
        <v>2593</v>
      </c>
      <c r="BI46" s="581"/>
      <c r="BJ46" s="581"/>
      <c r="BK46" s="582"/>
      <c r="BL46" s="420"/>
      <c r="BO46" s="386" t="s">
        <v>24</v>
      </c>
      <c r="BP46" s="387">
        <f>+IF('Worksheet (2)'!$O39="V","fabric verticle",IF('Worksheet (2)'!$O39="RR","fabric Railroad",0))</f>
        <v>0</v>
      </c>
      <c r="BQ46" s="594" t="s">
        <v>25</v>
      </c>
      <c r="BR46" s="595"/>
      <c r="BS46" s="596"/>
      <c r="BT46" s="388" t="str">
        <f>+IF('Worksheet (2)'!$J39&gt;0,'Worksheet (2)'!$J39,"NO")</f>
        <v>NO</v>
      </c>
      <c r="BV46" s="377"/>
      <c r="BW46" s="389"/>
      <c r="BX46" s="580" t="s">
        <v>2593</v>
      </c>
      <c r="BY46" s="581"/>
      <c r="BZ46" s="581"/>
      <c r="CA46" s="582"/>
    </row>
    <row r="47" spans="1:79" s="391" customFormat="1" x14ac:dyDescent="0.3">
      <c r="A47" s="352"/>
      <c r="B47" s="352"/>
      <c r="C47" s="585">
        <f>+'Worksheet (2)'!$N19</f>
        <v>0</v>
      </c>
      <c r="D47" s="586"/>
      <c r="E47" s="587" t="s">
        <v>26</v>
      </c>
      <c r="F47" s="588"/>
      <c r="G47" s="589"/>
      <c r="H47" s="390">
        <f>+'Worksheet (2)'!$L19</f>
        <v>0</v>
      </c>
      <c r="J47" s="590"/>
      <c r="K47" s="591"/>
      <c r="L47" s="581"/>
      <c r="M47" s="581"/>
      <c r="N47" s="581"/>
      <c r="O47" s="582"/>
      <c r="P47" s="420"/>
      <c r="Q47" s="352"/>
      <c r="R47" s="352"/>
      <c r="S47" s="585">
        <f>+'Worksheet (2)'!$N24</f>
        <v>0</v>
      </c>
      <c r="T47" s="586"/>
      <c r="U47" s="587" t="s">
        <v>26</v>
      </c>
      <c r="V47" s="588"/>
      <c r="W47" s="589"/>
      <c r="X47" s="390">
        <f>+'Worksheet (2)'!$L24</f>
        <v>0</v>
      </c>
      <c r="Z47" s="590"/>
      <c r="AA47" s="591"/>
      <c r="AB47" s="581"/>
      <c r="AC47" s="581"/>
      <c r="AD47" s="581"/>
      <c r="AE47" s="582"/>
      <c r="AF47" s="420"/>
      <c r="AG47" s="352"/>
      <c r="AH47" s="352"/>
      <c r="AI47" s="585">
        <f>+'Worksheet (2)'!$N29</f>
        <v>0</v>
      </c>
      <c r="AJ47" s="586"/>
      <c r="AK47" s="587" t="s">
        <v>26</v>
      </c>
      <c r="AL47" s="588"/>
      <c r="AM47" s="589"/>
      <c r="AN47" s="390">
        <f>+'Worksheet (2)'!$L29</f>
        <v>0</v>
      </c>
      <c r="AP47" s="590"/>
      <c r="AQ47" s="591"/>
      <c r="AR47" s="581"/>
      <c r="AS47" s="581"/>
      <c r="AT47" s="581"/>
      <c r="AU47" s="582"/>
      <c r="AV47" s="420"/>
      <c r="AW47" s="352"/>
      <c r="AX47" s="352"/>
      <c r="AY47" s="585">
        <f>+'Worksheet (2)'!$N34</f>
        <v>0</v>
      </c>
      <c r="AZ47" s="586"/>
      <c r="BA47" s="587" t="s">
        <v>26</v>
      </c>
      <c r="BB47" s="588"/>
      <c r="BC47" s="589"/>
      <c r="BD47" s="390">
        <f>+'Worksheet (2)'!$L34</f>
        <v>0</v>
      </c>
      <c r="BF47" s="590"/>
      <c r="BG47" s="591"/>
      <c r="BH47" s="581"/>
      <c r="BI47" s="581"/>
      <c r="BJ47" s="581"/>
      <c r="BK47" s="582"/>
      <c r="BL47" s="420"/>
      <c r="BM47" s="352"/>
      <c r="BN47" s="352"/>
      <c r="BO47" s="585">
        <f>+'Worksheet (2)'!$N39</f>
        <v>0</v>
      </c>
      <c r="BP47" s="586"/>
      <c r="BQ47" s="587" t="s">
        <v>26</v>
      </c>
      <c r="BR47" s="588"/>
      <c r="BS47" s="589"/>
      <c r="BT47" s="390">
        <f>+'Worksheet (2)'!$L39</f>
        <v>0</v>
      </c>
      <c r="BV47" s="590"/>
      <c r="BW47" s="591"/>
      <c r="BX47" s="581"/>
      <c r="BY47" s="581"/>
      <c r="BZ47" s="581"/>
      <c r="CA47" s="582"/>
    </row>
    <row r="48" spans="1:79" ht="18" x14ac:dyDescent="0.35">
      <c r="C48" s="392" t="s">
        <v>20</v>
      </c>
      <c r="D48" s="393" t="s">
        <v>27</v>
      </c>
      <c r="E48" s="594" t="s">
        <v>28</v>
      </c>
      <c r="F48" s="595"/>
      <c r="G48" s="596"/>
      <c r="H48" s="394" t="str">
        <f>+IF('Worksheet (2)'!$K19&gt;0,'Worksheet (2)'!$K19,"NO facia")</f>
        <v>NO facia</v>
      </c>
      <c r="J48" s="392" t="s">
        <v>20</v>
      </c>
      <c r="K48" s="393" t="s">
        <v>27</v>
      </c>
      <c r="L48" s="581"/>
      <c r="M48" s="581"/>
      <c r="N48" s="581"/>
      <c r="O48" s="582"/>
      <c r="P48" s="420"/>
      <c r="S48" s="392" t="s">
        <v>20</v>
      </c>
      <c r="T48" s="393" t="s">
        <v>27</v>
      </c>
      <c r="U48" s="594" t="s">
        <v>28</v>
      </c>
      <c r="V48" s="595"/>
      <c r="W48" s="596"/>
      <c r="X48" s="394" t="str">
        <f>+IF('Worksheet (2)'!$K24&gt;0,'Worksheet (2)'!$K24,"NO facia")</f>
        <v>NO facia</v>
      </c>
      <c r="Z48" s="392" t="s">
        <v>20</v>
      </c>
      <c r="AA48" s="393" t="s">
        <v>27</v>
      </c>
      <c r="AB48" s="581"/>
      <c r="AC48" s="581"/>
      <c r="AD48" s="581"/>
      <c r="AE48" s="582"/>
      <c r="AF48" s="420"/>
      <c r="AI48" s="392" t="s">
        <v>20</v>
      </c>
      <c r="AJ48" s="393" t="s">
        <v>27</v>
      </c>
      <c r="AK48" s="594" t="s">
        <v>28</v>
      </c>
      <c r="AL48" s="595"/>
      <c r="AM48" s="596"/>
      <c r="AN48" s="394" t="str">
        <f>+IF('Worksheet (2)'!$K29&gt;0,'Worksheet (2)'!$K29,"NO facia")</f>
        <v>NO facia</v>
      </c>
      <c r="AP48" s="392" t="s">
        <v>20</v>
      </c>
      <c r="AQ48" s="393" t="s">
        <v>27</v>
      </c>
      <c r="AR48" s="581"/>
      <c r="AS48" s="581"/>
      <c r="AT48" s="581"/>
      <c r="AU48" s="582"/>
      <c r="AV48" s="420"/>
      <c r="AY48" s="392" t="s">
        <v>20</v>
      </c>
      <c r="AZ48" s="393" t="s">
        <v>27</v>
      </c>
      <c r="BA48" s="594" t="s">
        <v>28</v>
      </c>
      <c r="BB48" s="595"/>
      <c r="BC48" s="596"/>
      <c r="BD48" s="394" t="str">
        <f>+IF('Worksheet (2)'!$K34&gt;0,'Worksheet (2)'!$K34,"NO facia")</f>
        <v>NO facia</v>
      </c>
      <c r="BF48" s="392" t="s">
        <v>20</v>
      </c>
      <c r="BG48" s="393" t="s">
        <v>27</v>
      </c>
      <c r="BH48" s="581"/>
      <c r="BI48" s="581"/>
      <c r="BJ48" s="581"/>
      <c r="BK48" s="582"/>
      <c r="BL48" s="420"/>
      <c r="BO48" s="392" t="s">
        <v>20</v>
      </c>
      <c r="BP48" s="393" t="s">
        <v>27</v>
      </c>
      <c r="BQ48" s="594" t="s">
        <v>28</v>
      </c>
      <c r="BR48" s="595"/>
      <c r="BS48" s="596"/>
      <c r="BT48" s="394" t="str">
        <f>+IF('Worksheet (2)'!$K39&gt;0,'Worksheet (2)'!$K39,"NO facia")</f>
        <v>NO facia</v>
      </c>
      <c r="BV48" s="392" t="s">
        <v>20</v>
      </c>
      <c r="BW48" s="393" t="s">
        <v>27</v>
      </c>
      <c r="BX48" s="581"/>
      <c r="BY48" s="581"/>
      <c r="BZ48" s="581"/>
      <c r="CA48" s="582"/>
    </row>
    <row r="49" spans="1:79" ht="31.2" x14ac:dyDescent="0.6">
      <c r="C49" s="395">
        <f>'Worksheet (2)'!$AH19</f>
        <v>-1.375</v>
      </c>
      <c r="D49" s="396">
        <f>ROUND(+F44+12,0)</f>
        <v>12</v>
      </c>
      <c r="E49" s="597" t="s">
        <v>29</v>
      </c>
      <c r="F49" s="598"/>
      <c r="G49" s="599"/>
      <c r="H49" s="394" t="str">
        <f>+IF('Worksheet (2)'!$K19&gt;0,"facia brkts","reg. brkts")</f>
        <v>reg. brkts</v>
      </c>
      <c r="J49" s="395">
        <f>C49</f>
        <v>-1.375</v>
      </c>
      <c r="K49" s="396">
        <f>D49</f>
        <v>12</v>
      </c>
      <c r="L49" s="583"/>
      <c r="M49" s="583"/>
      <c r="N49" s="583"/>
      <c r="O49" s="584"/>
      <c r="P49" s="420"/>
      <c r="S49" s="395">
        <f>'Worksheet (2)'!$AH24</f>
        <v>-1.375</v>
      </c>
      <c r="T49" s="396">
        <f>ROUND(+V44+12,0)</f>
        <v>12</v>
      </c>
      <c r="U49" s="597" t="s">
        <v>29</v>
      </c>
      <c r="V49" s="598"/>
      <c r="W49" s="599"/>
      <c r="X49" s="394" t="str">
        <f>+IF('Worksheet (2)'!$K24&gt;0,"facia brkts","reg. brkts")</f>
        <v>reg. brkts</v>
      </c>
      <c r="Z49" s="395">
        <f>S49</f>
        <v>-1.375</v>
      </c>
      <c r="AA49" s="396">
        <f>T49</f>
        <v>12</v>
      </c>
      <c r="AB49" s="583"/>
      <c r="AC49" s="583"/>
      <c r="AD49" s="583"/>
      <c r="AE49" s="584"/>
      <c r="AF49" s="420"/>
      <c r="AI49" s="395">
        <f>'Worksheet (2)'!$AH29</f>
        <v>-1.375</v>
      </c>
      <c r="AJ49" s="396">
        <f>ROUND(+AL44+12,0)</f>
        <v>12</v>
      </c>
      <c r="AK49" s="597" t="s">
        <v>29</v>
      </c>
      <c r="AL49" s="598"/>
      <c r="AM49" s="599"/>
      <c r="AN49" s="394" t="str">
        <f>+IF('Worksheet (2)'!$K29&gt;0,"facia brkts","reg. brkts")</f>
        <v>reg. brkts</v>
      </c>
      <c r="AP49" s="395">
        <f>AI49</f>
        <v>-1.375</v>
      </c>
      <c r="AQ49" s="396">
        <f>AJ49</f>
        <v>12</v>
      </c>
      <c r="AR49" s="583"/>
      <c r="AS49" s="583"/>
      <c r="AT49" s="583"/>
      <c r="AU49" s="584"/>
      <c r="AV49" s="420"/>
      <c r="AY49" s="395">
        <f>'Worksheet (2)'!$AH34</f>
        <v>-1.375</v>
      </c>
      <c r="AZ49" s="396">
        <f>ROUND(+BB44+12,0)</f>
        <v>12</v>
      </c>
      <c r="BA49" s="597" t="s">
        <v>29</v>
      </c>
      <c r="BB49" s="598"/>
      <c r="BC49" s="599"/>
      <c r="BD49" s="394" t="str">
        <f>+IF('Worksheet (2)'!$K34&gt;0,"facia brkts","reg. brkts")</f>
        <v>reg. brkts</v>
      </c>
      <c r="BF49" s="395">
        <f>AY49</f>
        <v>-1.375</v>
      </c>
      <c r="BG49" s="396">
        <f>AZ49</f>
        <v>12</v>
      </c>
      <c r="BH49" s="583"/>
      <c r="BI49" s="583"/>
      <c r="BJ49" s="583"/>
      <c r="BK49" s="584"/>
      <c r="BL49" s="420"/>
      <c r="BO49" s="395">
        <f>'Worksheet (2)'!$AH39</f>
        <v>-1.375</v>
      </c>
      <c r="BP49" s="396">
        <f>ROUND(+BR44+12,0)</f>
        <v>12</v>
      </c>
      <c r="BQ49" s="597" t="s">
        <v>29</v>
      </c>
      <c r="BR49" s="598"/>
      <c r="BS49" s="599"/>
      <c r="BT49" s="394" t="str">
        <f>+IF('Worksheet (2)'!$K39&gt;0,"facia brkts","reg. brkts")</f>
        <v>reg. brkts</v>
      </c>
      <c r="BV49" s="395">
        <f>BO49</f>
        <v>-1.375</v>
      </c>
      <c r="BW49" s="396">
        <f>BP49</f>
        <v>12</v>
      </c>
      <c r="BX49" s="583"/>
      <c r="BY49" s="583"/>
      <c r="BZ49" s="583"/>
      <c r="CA49" s="584"/>
    </row>
    <row r="50" spans="1:79" ht="31.8" thickBot="1" x14ac:dyDescent="0.65">
      <c r="C50" s="397"/>
      <c r="D50" s="398" t="str">
        <f>+IF($C44&gt;0,"ROLLERSHADE","do not use")</f>
        <v>do not use</v>
      </c>
      <c r="E50" s="399"/>
      <c r="F50" s="399"/>
      <c r="G50" s="399"/>
      <c r="H50" s="400"/>
      <c r="J50" s="401"/>
      <c r="K50" s="398" t="str">
        <f>+IF(C44&gt;0,"TUBE SIZE","do not use")</f>
        <v>do not use</v>
      </c>
      <c r="L50" s="399"/>
      <c r="M50" s="408" t="str">
        <f>IF(K50="TUBE SIZE",C44,IF('Worksheet (2)'!E52="Fabric ONLY","Fabric ONLY"," "))</f>
        <v xml:space="preserve"> </v>
      </c>
      <c r="N50" s="399"/>
      <c r="O50" s="400"/>
      <c r="P50" s="384"/>
      <c r="S50" s="397"/>
      <c r="T50" s="398" t="str">
        <f>+IF($T44&gt;0,"ROLLERSHADE","do not use")</f>
        <v>do not use</v>
      </c>
      <c r="U50" s="399"/>
      <c r="V50" s="399"/>
      <c r="W50" s="399"/>
      <c r="X50" s="400"/>
      <c r="Z50" s="401"/>
      <c r="AA50" s="398" t="str">
        <f>+IF(S44&gt;0,"TUBE SIZE","do not use")</f>
        <v>do not use</v>
      </c>
      <c r="AB50" s="399"/>
      <c r="AC50" s="408" t="str">
        <f>IF(AA50="TUBE SIZE",S44,IF('Worksheet (2)'!U52="Fabric ONLY","Fabric ONLY"," "))</f>
        <v xml:space="preserve"> </v>
      </c>
      <c r="AD50" s="399"/>
      <c r="AE50" s="400"/>
      <c r="AF50" s="384"/>
      <c r="AI50" s="397"/>
      <c r="AJ50" s="398" t="str">
        <f>+IF($AI44&gt;0,"ROLLERSHADE","do not use")</f>
        <v>do not use</v>
      </c>
      <c r="AK50" s="399"/>
      <c r="AL50" s="399"/>
      <c r="AM50" s="399"/>
      <c r="AN50" s="400"/>
      <c r="AP50" s="401"/>
      <c r="AQ50" s="398" t="str">
        <f>+IF(AI44&gt;0,"TUBE SIZE","do not use")</f>
        <v>do not use</v>
      </c>
      <c r="AR50" s="399"/>
      <c r="AS50" s="408" t="str">
        <f>IF(AQ50="TUBE SIZE",AI44,IF('Worksheet (2)'!AR52="Fabric ONLY","Fabric ONLY"," "))</f>
        <v xml:space="preserve"> </v>
      </c>
      <c r="AT50" s="399"/>
      <c r="AU50" s="400"/>
      <c r="AV50" s="384"/>
      <c r="AY50" s="397"/>
      <c r="AZ50" s="398" t="str">
        <f>+IF($AY44&gt;0,"ROLLERSHADE","do not use")</f>
        <v>do not use</v>
      </c>
      <c r="BA50" s="399"/>
      <c r="BB50" s="399"/>
      <c r="BC50" s="399"/>
      <c r="BD50" s="400"/>
      <c r="BF50" s="401"/>
      <c r="BG50" s="398" t="str">
        <f>+IF(AY44&gt;0,"TUBE SIZE","do not use")</f>
        <v>do not use</v>
      </c>
      <c r="BH50" s="399"/>
      <c r="BI50" s="408" t="str">
        <f>IF(BG50="TUBE SIZE",AY44,IF('Worksheet (2)'!BH52="Fabric ONLY","Fabric ONLY"," "))</f>
        <v xml:space="preserve"> </v>
      </c>
      <c r="BJ50" s="399"/>
      <c r="BK50" s="400"/>
      <c r="BL50" s="384"/>
      <c r="BO50" s="397"/>
      <c r="BP50" s="398" t="str">
        <f>+IF($BO44&gt;0,"ROLLERSHADE","do not use")</f>
        <v>do not use</v>
      </c>
      <c r="BQ50" s="399"/>
      <c r="BR50" s="399"/>
      <c r="BS50" s="399"/>
      <c r="BT50" s="400"/>
      <c r="BV50" s="401"/>
      <c r="BW50" s="398" t="str">
        <f>+IF(BO44&gt;0,"TUBE SIZE","do not use")</f>
        <v>do not use</v>
      </c>
      <c r="BX50" s="399"/>
      <c r="BY50" s="408" t="str">
        <f>IF(BW50="TUBE SIZE",BO44,IF('Worksheet (2)'!BX52="Fabric ONLY","Fabric ONLY"," "))</f>
        <v xml:space="preserve"> </v>
      </c>
      <c r="BZ50" s="399"/>
      <c r="CA50" s="400"/>
    </row>
    <row r="51" spans="1:79" ht="63.75" customHeight="1" thickBot="1" x14ac:dyDescent="0.35">
      <c r="C51" s="384"/>
      <c r="D51" s="384"/>
      <c r="E51" s="384"/>
      <c r="F51" s="384"/>
      <c r="G51" s="384"/>
      <c r="H51" s="406"/>
      <c r="S51" s="384"/>
      <c r="T51" s="384"/>
      <c r="U51" s="384"/>
      <c r="V51" s="384"/>
      <c r="W51" s="384"/>
      <c r="X51" s="406"/>
      <c r="AI51" s="384"/>
      <c r="AJ51" s="384"/>
      <c r="AK51" s="384"/>
      <c r="AL51" s="384"/>
      <c r="AM51" s="384"/>
      <c r="AN51" s="406"/>
      <c r="AY51" s="384"/>
      <c r="AZ51" s="384"/>
      <c r="BA51" s="384"/>
      <c r="BB51" s="384"/>
      <c r="BC51" s="384"/>
      <c r="BD51" s="406"/>
      <c r="BO51" s="384"/>
      <c r="BP51" s="384"/>
      <c r="BQ51" s="384"/>
      <c r="BR51" s="384"/>
      <c r="BS51" s="384"/>
      <c r="BT51" s="406"/>
    </row>
    <row r="52" spans="1:79" ht="20.25" customHeight="1" thickBot="1" x14ac:dyDescent="0.7">
      <c r="A52" s="352" t="s">
        <v>52</v>
      </c>
      <c r="B52" s="352" t="s">
        <v>2485</v>
      </c>
      <c r="C52" s="359" t="s">
        <v>21</v>
      </c>
      <c r="D52" s="564">
        <f>+jobnumber</f>
        <v>33303</v>
      </c>
      <c r="E52" s="565"/>
      <c r="F52" s="565"/>
      <c r="G52" s="566"/>
      <c r="H52" s="567" t="str">
        <f>+'Worksheet (2)'!$B20</f>
        <v>P2-RS5</v>
      </c>
      <c r="J52" s="359" t="s">
        <v>21</v>
      </c>
      <c r="K52" s="360">
        <f>+jobnumber</f>
        <v>33303</v>
      </c>
      <c r="L52" s="361"/>
      <c r="M52" s="361"/>
      <c r="N52" s="361"/>
      <c r="O52" s="567" t="str">
        <f>+H52</f>
        <v>P2-RS5</v>
      </c>
      <c r="P52" s="362"/>
      <c r="Q52" s="352" t="s">
        <v>57</v>
      </c>
      <c r="R52" s="352" t="s">
        <v>2490</v>
      </c>
      <c r="S52" s="359" t="s">
        <v>21</v>
      </c>
      <c r="T52" s="564">
        <f>+jobnumber</f>
        <v>33303</v>
      </c>
      <c r="U52" s="565"/>
      <c r="V52" s="565"/>
      <c r="W52" s="566"/>
      <c r="X52" s="567" t="str">
        <f>+'Worksheet (2)'!$B25</f>
        <v>P2-RS10</v>
      </c>
      <c r="Z52" s="359" t="s">
        <v>21</v>
      </c>
      <c r="AA52" s="360">
        <f>+jobnumber</f>
        <v>33303</v>
      </c>
      <c r="AB52" s="361"/>
      <c r="AC52" s="361"/>
      <c r="AD52" s="361"/>
      <c r="AE52" s="567" t="str">
        <f>+X52</f>
        <v>P2-RS10</v>
      </c>
      <c r="AF52" s="362"/>
      <c r="AG52" s="352" t="s">
        <v>63</v>
      </c>
      <c r="AH52" s="352" t="s">
        <v>2495</v>
      </c>
      <c r="AI52" s="359" t="s">
        <v>21</v>
      </c>
      <c r="AJ52" s="564">
        <f>+jobnumber</f>
        <v>33303</v>
      </c>
      <c r="AK52" s="565"/>
      <c r="AL52" s="565"/>
      <c r="AM52" s="566"/>
      <c r="AN52" s="567" t="str">
        <f>+'Worksheet (2)'!$B30</f>
        <v>P2-RS15</v>
      </c>
      <c r="AP52" s="359" t="s">
        <v>21</v>
      </c>
      <c r="AQ52" s="360">
        <f>+jobnumber</f>
        <v>33303</v>
      </c>
      <c r="AR52" s="361"/>
      <c r="AS52" s="361"/>
      <c r="AT52" s="361"/>
      <c r="AU52" s="567" t="str">
        <f>+AN52</f>
        <v>P2-RS15</v>
      </c>
      <c r="AV52" s="362"/>
      <c r="AW52" s="352" t="s">
        <v>68</v>
      </c>
      <c r="AX52" s="352" t="s">
        <v>2500</v>
      </c>
      <c r="AY52" s="359" t="s">
        <v>21</v>
      </c>
      <c r="AZ52" s="564">
        <f>+jobnumber</f>
        <v>33303</v>
      </c>
      <c r="BA52" s="565"/>
      <c r="BB52" s="565"/>
      <c r="BC52" s="566"/>
      <c r="BD52" s="567" t="str">
        <f>+'Worksheet (2)'!$B35</f>
        <v>P2-RS20</v>
      </c>
      <c r="BF52" s="359" t="s">
        <v>21</v>
      </c>
      <c r="BG52" s="360">
        <f>+jobnumber</f>
        <v>33303</v>
      </c>
      <c r="BH52" s="361"/>
      <c r="BI52" s="361"/>
      <c r="BJ52" s="361"/>
      <c r="BK52" s="567" t="str">
        <f>+BD52</f>
        <v>P2-RS20</v>
      </c>
      <c r="BL52" s="362"/>
      <c r="BM52" s="352" t="s">
        <v>181</v>
      </c>
      <c r="BN52" s="352" t="s">
        <v>2505</v>
      </c>
      <c r="BO52" s="359" t="s">
        <v>21</v>
      </c>
      <c r="BP52" s="564">
        <f>+jobnumber</f>
        <v>33303</v>
      </c>
      <c r="BQ52" s="565"/>
      <c r="BR52" s="565"/>
      <c r="BS52" s="566"/>
      <c r="BT52" s="567" t="str">
        <f>+'Worksheet (2)'!$B40</f>
        <v>P2-RS25</v>
      </c>
      <c r="BV52" s="359" t="s">
        <v>21</v>
      </c>
      <c r="BW52" s="360">
        <f>+jobnumber</f>
        <v>33303</v>
      </c>
      <c r="BX52" s="361"/>
      <c r="BY52" s="361"/>
      <c r="BZ52" s="361"/>
      <c r="CA52" s="567" t="str">
        <f>+BT52</f>
        <v>P2-RS25</v>
      </c>
    </row>
    <row r="53" spans="1:79" ht="20.25" customHeight="1" thickBot="1" x14ac:dyDescent="0.7">
      <c r="C53" s="363" t="s">
        <v>2626</v>
      </c>
      <c r="D53" s="569" t="str">
        <f>+_xlfn.SINGLE(bill_name)</f>
        <v>JLL</v>
      </c>
      <c r="E53" s="570"/>
      <c r="F53" s="570"/>
      <c r="G53" s="571"/>
      <c r="H53" s="568"/>
      <c r="J53" s="365" t="s">
        <v>22</v>
      </c>
      <c r="K53" s="366" t="str">
        <f>+_xlfn.SINGLE(bill_name)</f>
        <v>JLL</v>
      </c>
      <c r="L53" s="367"/>
      <c r="M53" s="367"/>
      <c r="N53" s="367"/>
      <c r="O53" s="568"/>
      <c r="P53" s="362"/>
      <c r="S53" s="363" t="s">
        <v>2626</v>
      </c>
      <c r="T53" s="569" t="str">
        <f>+_xlfn.SINGLE(bill_name)</f>
        <v>JLL</v>
      </c>
      <c r="U53" s="570"/>
      <c r="V53" s="570"/>
      <c r="W53" s="571"/>
      <c r="X53" s="568"/>
      <c r="Z53" s="365" t="s">
        <v>22</v>
      </c>
      <c r="AA53" s="366" t="str">
        <f>+_xlfn.SINGLE(bill_name)</f>
        <v>JLL</v>
      </c>
      <c r="AB53" s="367"/>
      <c r="AC53" s="367"/>
      <c r="AD53" s="367"/>
      <c r="AE53" s="568"/>
      <c r="AF53" s="362"/>
      <c r="AI53" s="363" t="s">
        <v>2626</v>
      </c>
      <c r="AJ53" s="569" t="str">
        <f>+_xlfn.SINGLE(bill_name)</f>
        <v>JLL</v>
      </c>
      <c r="AK53" s="570"/>
      <c r="AL53" s="570"/>
      <c r="AM53" s="571"/>
      <c r="AN53" s="568"/>
      <c r="AP53" s="365" t="s">
        <v>22</v>
      </c>
      <c r="AQ53" s="366" t="str">
        <f>+_xlfn.SINGLE(bill_name)</f>
        <v>JLL</v>
      </c>
      <c r="AR53" s="367"/>
      <c r="AS53" s="367"/>
      <c r="AT53" s="367"/>
      <c r="AU53" s="568"/>
      <c r="AV53" s="362"/>
      <c r="AY53" s="363" t="s">
        <v>2626</v>
      </c>
      <c r="AZ53" s="569" t="str">
        <f>+_xlfn.SINGLE(bill_name)</f>
        <v>JLL</v>
      </c>
      <c r="BA53" s="570"/>
      <c r="BB53" s="570"/>
      <c r="BC53" s="571"/>
      <c r="BD53" s="568"/>
      <c r="BF53" s="365" t="s">
        <v>22</v>
      </c>
      <c r="BG53" s="366" t="str">
        <f>+_xlfn.SINGLE(bill_name)</f>
        <v>JLL</v>
      </c>
      <c r="BH53" s="367"/>
      <c r="BI53" s="367"/>
      <c r="BJ53" s="367"/>
      <c r="BK53" s="568"/>
      <c r="BL53" s="362"/>
      <c r="BO53" s="363" t="s">
        <v>2626</v>
      </c>
      <c r="BP53" s="569" t="str">
        <f>+_xlfn.SINGLE(bill_name)</f>
        <v>JLL</v>
      </c>
      <c r="BQ53" s="570"/>
      <c r="BR53" s="570"/>
      <c r="BS53" s="571"/>
      <c r="BT53" s="568"/>
      <c r="BV53" s="365" t="s">
        <v>22</v>
      </c>
      <c r="BW53" s="366" t="str">
        <f>+_xlfn.SINGLE(bill_name)</f>
        <v>JLL</v>
      </c>
      <c r="BX53" s="367"/>
      <c r="BY53" s="367"/>
      <c r="BZ53" s="367"/>
      <c r="CA53" s="568"/>
    </row>
    <row r="54" spans="1:79" s="364" customFormat="1" ht="21" x14ac:dyDescent="0.4">
      <c r="A54" s="352"/>
      <c r="B54" s="352"/>
      <c r="C54" s="368" t="s">
        <v>2627</v>
      </c>
      <c r="D54" s="572" t="str">
        <f>+jobname</f>
        <v>Cottonwood Creek WO#I5187109-00104</v>
      </c>
      <c r="E54" s="573"/>
      <c r="F54" s="573"/>
      <c r="G54" s="573"/>
      <c r="H54" s="574"/>
      <c r="J54" s="369" t="s">
        <v>78</v>
      </c>
      <c r="K54" s="370" t="str">
        <f>+jobname</f>
        <v>Cottonwood Creek WO#I5187109-00104</v>
      </c>
      <c r="L54" s="371"/>
      <c r="M54" s="371"/>
      <c r="N54" s="371"/>
      <c r="O54" s="372"/>
      <c r="P54" s="373"/>
      <c r="Q54" s="352"/>
      <c r="R54" s="352"/>
      <c r="S54" s="368" t="s">
        <v>2627</v>
      </c>
      <c r="T54" s="572" t="str">
        <f>+jobname</f>
        <v>Cottonwood Creek WO#I5187109-00104</v>
      </c>
      <c r="U54" s="573"/>
      <c r="V54" s="573"/>
      <c r="W54" s="573"/>
      <c r="X54" s="574"/>
      <c r="Z54" s="369" t="s">
        <v>78</v>
      </c>
      <c r="AA54" s="370" t="str">
        <f>+jobname</f>
        <v>Cottonwood Creek WO#I5187109-00104</v>
      </c>
      <c r="AB54" s="371"/>
      <c r="AC54" s="371"/>
      <c r="AD54" s="371"/>
      <c r="AE54" s="372"/>
      <c r="AF54" s="373"/>
      <c r="AG54" s="352"/>
      <c r="AH54" s="352"/>
      <c r="AI54" s="368" t="s">
        <v>2627</v>
      </c>
      <c r="AJ54" s="572" t="str">
        <f>+jobname</f>
        <v>Cottonwood Creek WO#I5187109-00104</v>
      </c>
      <c r="AK54" s="573"/>
      <c r="AL54" s="573"/>
      <c r="AM54" s="573"/>
      <c r="AN54" s="574"/>
      <c r="AP54" s="369" t="s">
        <v>78</v>
      </c>
      <c r="AQ54" s="370" t="str">
        <f>+jobname</f>
        <v>Cottonwood Creek WO#I5187109-00104</v>
      </c>
      <c r="AR54" s="371"/>
      <c r="AS54" s="371"/>
      <c r="AT54" s="371"/>
      <c r="AU54" s="372"/>
      <c r="AV54" s="373"/>
      <c r="AW54" s="352"/>
      <c r="AX54" s="352"/>
      <c r="AY54" s="368" t="s">
        <v>2627</v>
      </c>
      <c r="AZ54" s="572" t="str">
        <f>+jobname</f>
        <v>Cottonwood Creek WO#I5187109-00104</v>
      </c>
      <c r="BA54" s="573"/>
      <c r="BB54" s="573"/>
      <c r="BC54" s="573"/>
      <c r="BD54" s="574"/>
      <c r="BF54" s="369" t="s">
        <v>78</v>
      </c>
      <c r="BG54" s="370" t="str">
        <f>+jobname</f>
        <v>Cottonwood Creek WO#I5187109-00104</v>
      </c>
      <c r="BH54" s="371"/>
      <c r="BI54" s="371"/>
      <c r="BJ54" s="371"/>
      <c r="BK54" s="372"/>
      <c r="BL54" s="373"/>
      <c r="BM54" s="352"/>
      <c r="BN54" s="352"/>
      <c r="BO54" s="368" t="s">
        <v>2627</v>
      </c>
      <c r="BP54" s="572" t="str">
        <f>+jobname</f>
        <v>Cottonwood Creek WO#I5187109-00104</v>
      </c>
      <c r="BQ54" s="573"/>
      <c r="BR54" s="573"/>
      <c r="BS54" s="573"/>
      <c r="BT54" s="574"/>
      <c r="BV54" s="369" t="s">
        <v>78</v>
      </c>
      <c r="BW54" s="370" t="str">
        <f>+jobname</f>
        <v>Cottonwood Creek WO#I5187109-00104</v>
      </c>
      <c r="BX54" s="371"/>
      <c r="BY54" s="371"/>
      <c r="BZ54" s="371"/>
      <c r="CA54" s="372"/>
    </row>
    <row r="55" spans="1:79" s="364" customFormat="1" ht="18" x14ac:dyDescent="0.35">
      <c r="A55" s="352"/>
      <c r="B55" s="352"/>
      <c r="C55" s="374" t="s">
        <v>23</v>
      </c>
      <c r="D55" s="575">
        <f>+'Worksheet (2)'!$C20</f>
        <v>0</v>
      </c>
      <c r="E55" s="576"/>
      <c r="F55" s="576"/>
      <c r="G55" s="371"/>
      <c r="H55" s="375" t="str">
        <f>+IF('Worksheet (2)'!$O$9=1,"Install",IF('Worksheet (2)'!$O$9=2,"Deliver",IF('Worksheet (2)'!$O$9=3,"Will Call",0)))</f>
        <v>Install</v>
      </c>
      <c r="J55" s="374" t="s">
        <v>23</v>
      </c>
      <c r="K55" s="373">
        <f>D55</f>
        <v>0</v>
      </c>
      <c r="L55" s="371"/>
      <c r="M55" s="371"/>
      <c r="N55" s="371"/>
      <c r="O55" s="376" t="str">
        <f>H55</f>
        <v>Install</v>
      </c>
      <c r="P55" s="373"/>
      <c r="Q55" s="352"/>
      <c r="R55" s="352"/>
      <c r="S55" s="374" t="s">
        <v>23</v>
      </c>
      <c r="T55" s="575">
        <f>+'Worksheet (2)'!$C25</f>
        <v>0</v>
      </c>
      <c r="U55" s="576"/>
      <c r="V55" s="576"/>
      <c r="W55" s="371"/>
      <c r="X55" s="375" t="str">
        <f>+IF('Worksheet (2)'!$O$9=1,"Install",IF('Worksheet (2)'!$O$9=2,"Deliver",IF('Worksheet (2)'!$O$9=3,"Will Call",0)))</f>
        <v>Install</v>
      </c>
      <c r="Z55" s="374" t="s">
        <v>23</v>
      </c>
      <c r="AA55" s="373">
        <f>T55</f>
        <v>0</v>
      </c>
      <c r="AB55" s="371"/>
      <c r="AC55" s="371"/>
      <c r="AD55" s="371"/>
      <c r="AE55" s="376" t="str">
        <f>X55</f>
        <v>Install</v>
      </c>
      <c r="AF55" s="373"/>
      <c r="AG55" s="352"/>
      <c r="AH55" s="352"/>
      <c r="AI55" s="374" t="s">
        <v>23</v>
      </c>
      <c r="AJ55" s="575">
        <f>+'Worksheet (2)'!$C30</f>
        <v>0</v>
      </c>
      <c r="AK55" s="576"/>
      <c r="AL55" s="576"/>
      <c r="AM55" s="371"/>
      <c r="AN55" s="375" t="str">
        <f>+IF('Worksheet (2)'!$O$9=1,"Install",IF('Worksheet (2)'!$O$9=2,"Deliver",IF('Worksheet (2)'!$O$9=3,"Will Call",0)))</f>
        <v>Install</v>
      </c>
      <c r="AP55" s="374" t="s">
        <v>23</v>
      </c>
      <c r="AQ55" s="373">
        <f>AJ55</f>
        <v>0</v>
      </c>
      <c r="AR55" s="371"/>
      <c r="AS55" s="371"/>
      <c r="AT55" s="371"/>
      <c r="AU55" s="376" t="str">
        <f>AN55</f>
        <v>Install</v>
      </c>
      <c r="AV55" s="373"/>
      <c r="AW55" s="352"/>
      <c r="AX55" s="352"/>
      <c r="AY55" s="374" t="s">
        <v>23</v>
      </c>
      <c r="AZ55" s="575">
        <f>+'Worksheet (2)'!$C35</f>
        <v>0</v>
      </c>
      <c r="BA55" s="576"/>
      <c r="BB55" s="576"/>
      <c r="BC55" s="371"/>
      <c r="BD55" s="375" t="str">
        <f>+IF('Worksheet (2)'!$O$9=1,"Install",IF('Worksheet (2)'!$O$9=2,"Deliver",IF('Worksheet (2)'!$O$9=3,"Will Call",0)))</f>
        <v>Install</v>
      </c>
      <c r="BF55" s="374" t="s">
        <v>23</v>
      </c>
      <c r="BG55" s="373">
        <f>AZ55</f>
        <v>0</v>
      </c>
      <c r="BH55" s="371"/>
      <c r="BI55" s="371"/>
      <c r="BJ55" s="371"/>
      <c r="BK55" s="376" t="str">
        <f>BD55</f>
        <v>Install</v>
      </c>
      <c r="BL55" s="373"/>
      <c r="BM55" s="352"/>
      <c r="BN55" s="352"/>
      <c r="BO55" s="374" t="s">
        <v>23</v>
      </c>
      <c r="BP55" s="575">
        <f>+'Worksheet (2)'!$C40</f>
        <v>0</v>
      </c>
      <c r="BQ55" s="576"/>
      <c r="BR55" s="576"/>
      <c r="BS55" s="371"/>
      <c r="BT55" s="375" t="str">
        <f>+IF('Worksheet (2)'!$O$9=1,"Install",IF('Worksheet (2)'!$O$9=2,"Deliver",IF('Worksheet (2)'!$O$9=3,"Will Call",0)))</f>
        <v>Install</v>
      </c>
      <c r="BV55" s="374" t="s">
        <v>23</v>
      </c>
      <c r="BW55" s="373">
        <f>BP55</f>
        <v>0</v>
      </c>
      <c r="BX55" s="371"/>
      <c r="BY55" s="371"/>
      <c r="BZ55" s="371"/>
      <c r="CA55" s="376" t="str">
        <f>BT55</f>
        <v>Install</v>
      </c>
    </row>
    <row r="56" spans="1:79" s="364" customFormat="1" ht="18" x14ac:dyDescent="0.35">
      <c r="A56" s="352"/>
      <c r="B56" s="352"/>
      <c r="C56" s="377">
        <f>+IF('Worksheet (2)'!$D20&gt;0,'Worksheet (2)'!$E20,0)</f>
        <v>0</v>
      </c>
      <c r="D56" s="378">
        <f>+'Worksheet (2)'!$F20</f>
        <v>0</v>
      </c>
      <c r="E56" s="379" t="s">
        <v>4</v>
      </c>
      <c r="F56" s="378">
        <f>+'Worksheet (2)'!$H20</f>
        <v>0</v>
      </c>
      <c r="G56" s="380"/>
      <c r="H56" s="381">
        <f>+'Worksheet (2)'!$I20</f>
        <v>0</v>
      </c>
      <c r="J56" s="377"/>
      <c r="N56" s="380"/>
      <c r="O56" s="381">
        <f>H56</f>
        <v>0</v>
      </c>
      <c r="P56" s="382"/>
      <c r="Q56" s="352"/>
      <c r="R56" s="352"/>
      <c r="S56" s="377">
        <f>+IF('Worksheet (2)'!$D25&gt;0,'Worksheet (2)'!$E25,0)</f>
        <v>0</v>
      </c>
      <c r="T56" s="378">
        <f>+'Worksheet (2)'!$F25</f>
        <v>0</v>
      </c>
      <c r="U56" s="379" t="s">
        <v>4</v>
      </c>
      <c r="V56" s="378">
        <f>+'Worksheet (2)'!$H25</f>
        <v>0</v>
      </c>
      <c r="W56" s="380"/>
      <c r="X56" s="381">
        <f>+'Worksheet (2)'!$I25</f>
        <v>0</v>
      </c>
      <c r="Z56" s="377"/>
      <c r="AD56" s="380"/>
      <c r="AE56" s="381">
        <f>X56</f>
        <v>0</v>
      </c>
      <c r="AF56" s="382"/>
      <c r="AG56" s="352"/>
      <c r="AH56" s="352"/>
      <c r="AI56" s="377">
        <f>+IF('Worksheet (2)'!$D30&gt;0,'Worksheet (2)'!$E30,0)</f>
        <v>0</v>
      </c>
      <c r="AJ56" s="378">
        <f>+'Worksheet (2)'!$F30</f>
        <v>0</v>
      </c>
      <c r="AK56" s="379" t="s">
        <v>4</v>
      </c>
      <c r="AL56" s="378">
        <f>+'Worksheet (2)'!$H30</f>
        <v>0</v>
      </c>
      <c r="AM56" s="380"/>
      <c r="AN56" s="381">
        <f>+'Worksheet (2)'!$I30</f>
        <v>0</v>
      </c>
      <c r="AP56" s="377"/>
      <c r="AT56" s="380"/>
      <c r="AU56" s="381">
        <f>AN56</f>
        <v>0</v>
      </c>
      <c r="AV56" s="382"/>
      <c r="AW56" s="352"/>
      <c r="AX56" s="352"/>
      <c r="AY56" s="377">
        <f>+IF('Worksheet (2)'!$D35&gt;0,'Worksheet (2)'!$E35,0)</f>
        <v>0</v>
      </c>
      <c r="AZ56" s="378">
        <f>+'Worksheet (2)'!$F35</f>
        <v>0</v>
      </c>
      <c r="BA56" s="379" t="s">
        <v>4</v>
      </c>
      <c r="BB56" s="378">
        <f>+'Worksheet (2)'!$H35</f>
        <v>0</v>
      </c>
      <c r="BC56" s="380"/>
      <c r="BD56" s="381">
        <f>+'Worksheet (2)'!$I35</f>
        <v>0</v>
      </c>
      <c r="BF56" s="377"/>
      <c r="BJ56" s="380"/>
      <c r="BK56" s="381">
        <f>BD56</f>
        <v>0</v>
      </c>
      <c r="BL56" s="382"/>
      <c r="BM56" s="352"/>
      <c r="BN56" s="352"/>
      <c r="BO56" s="377">
        <f>+IF('Worksheet (2)'!$D40&gt;0,'Worksheet (2)'!$E40,0)</f>
        <v>0</v>
      </c>
      <c r="BP56" s="378">
        <f>+'Worksheet (2)'!$F40</f>
        <v>0</v>
      </c>
      <c r="BQ56" s="379" t="s">
        <v>4</v>
      </c>
      <c r="BR56" s="378">
        <f>+'Worksheet (2)'!$H40</f>
        <v>0</v>
      </c>
      <c r="BS56" s="380"/>
      <c r="BT56" s="381">
        <f>+'Worksheet (2)'!$I40</f>
        <v>0</v>
      </c>
      <c r="BV56" s="377"/>
      <c r="BZ56" s="380"/>
      <c r="CA56" s="381">
        <f>BT56</f>
        <v>0</v>
      </c>
    </row>
    <row r="57" spans="1:79" ht="18" x14ac:dyDescent="0.35">
      <c r="C57" s="383" t="s">
        <v>19</v>
      </c>
      <c r="D57" s="592">
        <f>+'Worksheet (2)'!$M20</f>
        <v>0</v>
      </c>
      <c r="E57" s="593"/>
      <c r="F57" s="593"/>
      <c r="G57" s="384"/>
      <c r="H57" s="385"/>
      <c r="J57" s="374" t="s">
        <v>2594</v>
      </c>
      <c r="K57" s="378">
        <f>D56</f>
        <v>0</v>
      </c>
      <c r="L57" s="378" t="str">
        <f>+E56</f>
        <v>X</v>
      </c>
      <c r="M57" s="378">
        <f>F56</f>
        <v>0</v>
      </c>
      <c r="N57" s="384"/>
      <c r="O57" s="385"/>
      <c r="P57" s="384"/>
      <c r="S57" s="383" t="s">
        <v>19</v>
      </c>
      <c r="T57" s="592">
        <f>+'Worksheet (2)'!$M25</f>
        <v>0</v>
      </c>
      <c r="U57" s="593"/>
      <c r="V57" s="593"/>
      <c r="W57" s="384"/>
      <c r="X57" s="385"/>
      <c r="Z57" s="374" t="s">
        <v>2594</v>
      </c>
      <c r="AA57" s="378">
        <f>T56</f>
        <v>0</v>
      </c>
      <c r="AB57" s="378" t="str">
        <f>+U56</f>
        <v>X</v>
      </c>
      <c r="AC57" s="378">
        <f>V56</f>
        <v>0</v>
      </c>
      <c r="AD57" s="384"/>
      <c r="AE57" s="385"/>
      <c r="AF57" s="384"/>
      <c r="AI57" s="383" t="s">
        <v>19</v>
      </c>
      <c r="AJ57" s="592">
        <f>+'Worksheet (2)'!$M30</f>
        <v>0</v>
      </c>
      <c r="AK57" s="593"/>
      <c r="AL57" s="593"/>
      <c r="AM57" s="384"/>
      <c r="AN57" s="385"/>
      <c r="AP57" s="374" t="s">
        <v>2594</v>
      </c>
      <c r="AQ57" s="378">
        <f>AJ56</f>
        <v>0</v>
      </c>
      <c r="AR57" s="378" t="str">
        <f>+AK56</f>
        <v>X</v>
      </c>
      <c r="AS57" s="378">
        <f>AL56</f>
        <v>0</v>
      </c>
      <c r="AT57" s="384"/>
      <c r="AU57" s="385"/>
      <c r="AV57" s="384"/>
      <c r="AY57" s="383" t="s">
        <v>19</v>
      </c>
      <c r="AZ57" s="592">
        <f>+'Worksheet (2)'!$M35</f>
        <v>0</v>
      </c>
      <c r="BA57" s="593"/>
      <c r="BB57" s="593"/>
      <c r="BC57" s="384"/>
      <c r="BD57" s="385"/>
      <c r="BF57" s="374" t="s">
        <v>2594</v>
      </c>
      <c r="BG57" s="378">
        <f>AZ56</f>
        <v>0</v>
      </c>
      <c r="BH57" s="378" t="str">
        <f>+BA56</f>
        <v>X</v>
      </c>
      <c r="BI57" s="378">
        <f>BB56</f>
        <v>0</v>
      </c>
      <c r="BJ57" s="384"/>
      <c r="BK57" s="385"/>
      <c r="BL57" s="384"/>
      <c r="BO57" s="383" t="s">
        <v>19</v>
      </c>
      <c r="BP57" s="592">
        <f>+'Worksheet (2)'!$M40</f>
        <v>0</v>
      </c>
      <c r="BQ57" s="593"/>
      <c r="BR57" s="593"/>
      <c r="BS57" s="384"/>
      <c r="BT57" s="385"/>
      <c r="BV57" s="374" t="s">
        <v>2594</v>
      </c>
      <c r="BW57" s="378">
        <f>BP56</f>
        <v>0</v>
      </c>
      <c r="BX57" s="378" t="str">
        <f>+BQ56</f>
        <v>X</v>
      </c>
      <c r="BY57" s="378">
        <f>BR56</f>
        <v>0</v>
      </c>
      <c r="BZ57" s="384"/>
      <c r="CA57" s="385"/>
    </row>
    <row r="58" spans="1:79" ht="18" x14ac:dyDescent="0.35">
      <c r="C58" s="386" t="s">
        <v>24</v>
      </c>
      <c r="D58" s="387">
        <f>+IF('Worksheet (2)'!$O20="V","fabric verticle",IF('Worksheet (2)'!$O20="RR","fabric Railroad",0))</f>
        <v>0</v>
      </c>
      <c r="E58" s="594" t="s">
        <v>25</v>
      </c>
      <c r="F58" s="595"/>
      <c r="G58" s="596"/>
      <c r="H58" s="388" t="str">
        <f>+IF('Worksheet (2)'!$J20&gt;0,'Worksheet (2)'!$J20,"NO")</f>
        <v>NO</v>
      </c>
      <c r="J58" s="377"/>
      <c r="K58" s="389"/>
      <c r="L58" s="580" t="s">
        <v>2593</v>
      </c>
      <c r="M58" s="581"/>
      <c r="N58" s="581"/>
      <c r="O58" s="582"/>
      <c r="P58" s="420"/>
      <c r="S58" s="386" t="s">
        <v>24</v>
      </c>
      <c r="T58" s="387">
        <f>+IF('Worksheet (2)'!$O25="V","fabric verticle",IF('Worksheet (2)'!$O25="RR","fabric Railroad",0))</f>
        <v>0</v>
      </c>
      <c r="U58" s="594" t="s">
        <v>25</v>
      </c>
      <c r="V58" s="595"/>
      <c r="W58" s="596"/>
      <c r="X58" s="388" t="str">
        <f>+IF('Worksheet (2)'!$J25&gt;0,'Worksheet (2)'!$J25,"NO")</f>
        <v>NO</v>
      </c>
      <c r="Z58" s="377"/>
      <c r="AA58" s="389"/>
      <c r="AB58" s="580" t="s">
        <v>2593</v>
      </c>
      <c r="AC58" s="581"/>
      <c r="AD58" s="581"/>
      <c r="AE58" s="582"/>
      <c r="AF58" s="420"/>
      <c r="AI58" s="386" t="s">
        <v>24</v>
      </c>
      <c r="AJ58" s="387">
        <f>+IF('Worksheet (2)'!$O30="V","fabric verticle",IF('Worksheet (2)'!$O30="RR","fabric Railroad",0))</f>
        <v>0</v>
      </c>
      <c r="AK58" s="594" t="s">
        <v>25</v>
      </c>
      <c r="AL58" s="595"/>
      <c r="AM58" s="596"/>
      <c r="AN58" s="388" t="str">
        <f>+IF('Worksheet (2)'!$J30&gt;0,'Worksheet (2)'!$J30,"NO")</f>
        <v>NO</v>
      </c>
      <c r="AP58" s="377"/>
      <c r="AQ58" s="389"/>
      <c r="AR58" s="580" t="s">
        <v>2593</v>
      </c>
      <c r="AS58" s="581"/>
      <c r="AT58" s="581"/>
      <c r="AU58" s="582"/>
      <c r="AV58" s="420"/>
      <c r="AY58" s="386" t="s">
        <v>24</v>
      </c>
      <c r="AZ58" s="387">
        <f>+IF('Worksheet (2)'!$O35="V","fabric verticle",IF('Worksheet (2)'!$O35="RR","fabric Railroad",0))</f>
        <v>0</v>
      </c>
      <c r="BA58" s="594" t="s">
        <v>25</v>
      </c>
      <c r="BB58" s="595"/>
      <c r="BC58" s="596"/>
      <c r="BD58" s="388" t="str">
        <f>+IF('Worksheet (2)'!$J35&gt;0,'Worksheet (2)'!$J35,"NO")</f>
        <v>NO</v>
      </c>
      <c r="BF58" s="377"/>
      <c r="BG58" s="389"/>
      <c r="BH58" s="580" t="s">
        <v>2593</v>
      </c>
      <c r="BI58" s="581"/>
      <c r="BJ58" s="581"/>
      <c r="BK58" s="582"/>
      <c r="BL58" s="420"/>
      <c r="BO58" s="386" t="s">
        <v>24</v>
      </c>
      <c r="BP58" s="387">
        <f>+IF('Worksheet (2)'!$O40="V","fabric verticle",IF('Worksheet (2)'!$O40="RR","fabric Railroad",0))</f>
        <v>0</v>
      </c>
      <c r="BQ58" s="594" t="s">
        <v>25</v>
      </c>
      <c r="BR58" s="595"/>
      <c r="BS58" s="596"/>
      <c r="BT58" s="388" t="str">
        <f>+IF('Worksheet (2)'!$J40&gt;0,'Worksheet (2)'!$J40,"NO")</f>
        <v>NO</v>
      </c>
      <c r="BV58" s="377"/>
      <c r="BW58" s="389"/>
      <c r="BX58" s="580" t="s">
        <v>2593</v>
      </c>
      <c r="BY58" s="581"/>
      <c r="BZ58" s="581"/>
      <c r="CA58" s="582"/>
    </row>
    <row r="59" spans="1:79" s="391" customFormat="1" x14ac:dyDescent="0.3">
      <c r="A59" s="352"/>
      <c r="B59" s="352"/>
      <c r="C59" s="585">
        <f>+'Worksheet (2)'!$N20</f>
        <v>0</v>
      </c>
      <c r="D59" s="586"/>
      <c r="E59" s="587" t="s">
        <v>26</v>
      </c>
      <c r="F59" s="588"/>
      <c r="G59" s="589"/>
      <c r="H59" s="390">
        <f>+'Worksheet (2)'!$L20</f>
        <v>0</v>
      </c>
      <c r="J59" s="590"/>
      <c r="K59" s="591"/>
      <c r="L59" s="581"/>
      <c r="M59" s="581"/>
      <c r="N59" s="581"/>
      <c r="O59" s="582"/>
      <c r="P59" s="420"/>
      <c r="Q59" s="352"/>
      <c r="R59" s="352"/>
      <c r="S59" s="585">
        <f>+'Worksheet (2)'!$N25</f>
        <v>0</v>
      </c>
      <c r="T59" s="586"/>
      <c r="U59" s="587" t="s">
        <v>26</v>
      </c>
      <c r="V59" s="588"/>
      <c r="W59" s="589"/>
      <c r="X59" s="390">
        <f>+'Worksheet (2)'!$L25</f>
        <v>0</v>
      </c>
      <c r="Z59" s="590"/>
      <c r="AA59" s="591"/>
      <c r="AB59" s="581"/>
      <c r="AC59" s="581"/>
      <c r="AD59" s="581"/>
      <c r="AE59" s="582"/>
      <c r="AF59" s="420"/>
      <c r="AG59" s="352"/>
      <c r="AH59" s="352"/>
      <c r="AI59" s="585">
        <f>+'Worksheet (2)'!$N30</f>
        <v>0</v>
      </c>
      <c r="AJ59" s="586"/>
      <c r="AK59" s="587" t="s">
        <v>26</v>
      </c>
      <c r="AL59" s="588"/>
      <c r="AM59" s="589"/>
      <c r="AN59" s="390">
        <f>+'Worksheet (2)'!$L30</f>
        <v>0</v>
      </c>
      <c r="AP59" s="590"/>
      <c r="AQ59" s="591"/>
      <c r="AR59" s="581"/>
      <c r="AS59" s="581"/>
      <c r="AT59" s="581"/>
      <c r="AU59" s="582"/>
      <c r="AV59" s="420"/>
      <c r="AW59" s="352"/>
      <c r="AX59" s="352"/>
      <c r="AY59" s="585">
        <f>+'Worksheet (2)'!$N35</f>
        <v>0</v>
      </c>
      <c r="AZ59" s="586"/>
      <c r="BA59" s="587" t="s">
        <v>26</v>
      </c>
      <c r="BB59" s="588"/>
      <c r="BC59" s="589"/>
      <c r="BD59" s="390">
        <f>+'Worksheet (2)'!$L35</f>
        <v>0</v>
      </c>
      <c r="BF59" s="590"/>
      <c r="BG59" s="591"/>
      <c r="BH59" s="581"/>
      <c r="BI59" s="581"/>
      <c r="BJ59" s="581"/>
      <c r="BK59" s="582"/>
      <c r="BL59" s="420"/>
      <c r="BM59" s="352"/>
      <c r="BN59" s="352"/>
      <c r="BO59" s="585">
        <f>+'Worksheet (2)'!$N40</f>
        <v>0</v>
      </c>
      <c r="BP59" s="586"/>
      <c r="BQ59" s="587" t="s">
        <v>26</v>
      </c>
      <c r="BR59" s="588"/>
      <c r="BS59" s="589"/>
      <c r="BT59" s="390">
        <f>+'Worksheet (2)'!$L40</f>
        <v>0</v>
      </c>
      <c r="BV59" s="590"/>
      <c r="BW59" s="591"/>
      <c r="BX59" s="581"/>
      <c r="BY59" s="581"/>
      <c r="BZ59" s="581"/>
      <c r="CA59" s="582"/>
    </row>
    <row r="60" spans="1:79" ht="18" x14ac:dyDescent="0.35">
      <c r="C60" s="392" t="s">
        <v>20</v>
      </c>
      <c r="D60" s="393" t="s">
        <v>27</v>
      </c>
      <c r="E60" s="594" t="s">
        <v>28</v>
      </c>
      <c r="F60" s="595"/>
      <c r="G60" s="596"/>
      <c r="H60" s="394" t="str">
        <f>+IF('Worksheet (2)'!$K20&gt;0,'Worksheet (2)'!$K20,"NO facia")</f>
        <v>NO facia</v>
      </c>
      <c r="J60" s="392" t="s">
        <v>20</v>
      </c>
      <c r="K60" s="393" t="s">
        <v>27</v>
      </c>
      <c r="L60" s="581"/>
      <c r="M60" s="581"/>
      <c r="N60" s="581"/>
      <c r="O60" s="582"/>
      <c r="P60" s="420"/>
      <c r="S60" s="392" t="s">
        <v>20</v>
      </c>
      <c r="T60" s="393" t="s">
        <v>27</v>
      </c>
      <c r="U60" s="594" t="s">
        <v>28</v>
      </c>
      <c r="V60" s="595"/>
      <c r="W60" s="596"/>
      <c r="X60" s="394" t="str">
        <f>+IF('Worksheet (2)'!$K25&gt;0,'Worksheet (2)'!$K25,"NO facia")</f>
        <v>NO facia</v>
      </c>
      <c r="Z60" s="392" t="s">
        <v>20</v>
      </c>
      <c r="AA60" s="393" t="s">
        <v>27</v>
      </c>
      <c r="AB60" s="581"/>
      <c r="AC60" s="581"/>
      <c r="AD60" s="581"/>
      <c r="AE60" s="582"/>
      <c r="AF60" s="420"/>
      <c r="AI60" s="392" t="s">
        <v>20</v>
      </c>
      <c r="AJ60" s="393" t="s">
        <v>27</v>
      </c>
      <c r="AK60" s="594" t="s">
        <v>28</v>
      </c>
      <c r="AL60" s="595"/>
      <c r="AM60" s="596"/>
      <c r="AN60" s="394" t="str">
        <f>+IF('Worksheet (2)'!$K30&gt;0,'Worksheet (2)'!$K30,"NO facia")</f>
        <v>NO facia</v>
      </c>
      <c r="AP60" s="392" t="s">
        <v>20</v>
      </c>
      <c r="AQ60" s="393" t="s">
        <v>27</v>
      </c>
      <c r="AR60" s="581"/>
      <c r="AS60" s="581"/>
      <c r="AT60" s="581"/>
      <c r="AU60" s="582"/>
      <c r="AV60" s="420"/>
      <c r="AY60" s="392" t="s">
        <v>20</v>
      </c>
      <c r="AZ60" s="393" t="s">
        <v>27</v>
      </c>
      <c r="BA60" s="594" t="s">
        <v>28</v>
      </c>
      <c r="BB60" s="595"/>
      <c r="BC60" s="596"/>
      <c r="BD60" s="394" t="str">
        <f>+IF('Worksheet (2)'!$K35&gt;0,'Worksheet (2)'!$K35,"NO facia")</f>
        <v>NO facia</v>
      </c>
      <c r="BF60" s="392" t="s">
        <v>20</v>
      </c>
      <c r="BG60" s="393" t="s">
        <v>27</v>
      </c>
      <c r="BH60" s="581"/>
      <c r="BI60" s="581"/>
      <c r="BJ60" s="581"/>
      <c r="BK60" s="582"/>
      <c r="BL60" s="420"/>
      <c r="BO60" s="392" t="s">
        <v>20</v>
      </c>
      <c r="BP60" s="393" t="s">
        <v>27</v>
      </c>
      <c r="BQ60" s="594" t="s">
        <v>28</v>
      </c>
      <c r="BR60" s="595"/>
      <c r="BS60" s="596"/>
      <c r="BT60" s="394" t="str">
        <f>+IF('Worksheet (2)'!$K40&gt;0,'Worksheet (2)'!$K40,"NO facia")</f>
        <v>NO facia</v>
      </c>
      <c r="BV60" s="392" t="s">
        <v>20</v>
      </c>
      <c r="BW60" s="393" t="s">
        <v>27</v>
      </c>
      <c r="BX60" s="581"/>
      <c r="BY60" s="581"/>
      <c r="BZ60" s="581"/>
      <c r="CA60" s="582"/>
    </row>
    <row r="61" spans="1:79" ht="31.2" x14ac:dyDescent="0.6">
      <c r="C61" s="395">
        <f>'Worksheet (2)'!$AH20</f>
        <v>-1.375</v>
      </c>
      <c r="D61" s="396">
        <f>ROUND(+F56+12,0)</f>
        <v>12</v>
      </c>
      <c r="E61" s="597" t="s">
        <v>29</v>
      </c>
      <c r="F61" s="598"/>
      <c r="G61" s="599"/>
      <c r="H61" s="394" t="str">
        <f>+IF('Worksheet (2)'!$K20&gt;0,"facia brkts","reg. brkts")</f>
        <v>reg. brkts</v>
      </c>
      <c r="J61" s="395">
        <f>C61</f>
        <v>-1.375</v>
      </c>
      <c r="K61" s="396">
        <f>D61</f>
        <v>12</v>
      </c>
      <c r="L61" s="583"/>
      <c r="M61" s="583"/>
      <c r="N61" s="583"/>
      <c r="O61" s="584"/>
      <c r="P61" s="420"/>
      <c r="S61" s="395">
        <f>'Worksheet (2)'!$AH25</f>
        <v>-1.375</v>
      </c>
      <c r="T61" s="396">
        <f>ROUND(+V56+12,0)</f>
        <v>12</v>
      </c>
      <c r="U61" s="597" t="s">
        <v>29</v>
      </c>
      <c r="V61" s="598"/>
      <c r="W61" s="599"/>
      <c r="X61" s="394" t="str">
        <f>+IF('Worksheet (2)'!$K25&gt;0,"facia brkts","reg. brkts")</f>
        <v>reg. brkts</v>
      </c>
      <c r="Z61" s="395">
        <f>S61</f>
        <v>-1.375</v>
      </c>
      <c r="AA61" s="396">
        <f>T61</f>
        <v>12</v>
      </c>
      <c r="AB61" s="583"/>
      <c r="AC61" s="583"/>
      <c r="AD61" s="583"/>
      <c r="AE61" s="584"/>
      <c r="AF61" s="420"/>
      <c r="AI61" s="395">
        <f>'Worksheet (2)'!$AH30</f>
        <v>-1.375</v>
      </c>
      <c r="AJ61" s="396">
        <f>ROUND(+AL56+12,0)</f>
        <v>12</v>
      </c>
      <c r="AK61" s="597" t="s">
        <v>29</v>
      </c>
      <c r="AL61" s="598"/>
      <c r="AM61" s="599"/>
      <c r="AN61" s="394" t="str">
        <f>+IF('Worksheet (2)'!$K30&gt;0,"facia brkts","reg. brkts")</f>
        <v>reg. brkts</v>
      </c>
      <c r="AP61" s="395">
        <f>AI61</f>
        <v>-1.375</v>
      </c>
      <c r="AQ61" s="396">
        <f>AJ61</f>
        <v>12</v>
      </c>
      <c r="AR61" s="583"/>
      <c r="AS61" s="583"/>
      <c r="AT61" s="583"/>
      <c r="AU61" s="584"/>
      <c r="AV61" s="420"/>
      <c r="AY61" s="395">
        <f>'Worksheet (2)'!$AH35</f>
        <v>-1.375</v>
      </c>
      <c r="AZ61" s="396">
        <f>ROUND(+BB56+12,0)</f>
        <v>12</v>
      </c>
      <c r="BA61" s="597" t="s">
        <v>29</v>
      </c>
      <c r="BB61" s="598"/>
      <c r="BC61" s="599"/>
      <c r="BD61" s="394" t="str">
        <f>+IF('Worksheet (2)'!$K35&gt;0,"facia brkts","reg. brkts")</f>
        <v>reg. brkts</v>
      </c>
      <c r="BF61" s="395">
        <f>AY61</f>
        <v>-1.375</v>
      </c>
      <c r="BG61" s="396">
        <f>AZ61</f>
        <v>12</v>
      </c>
      <c r="BH61" s="583"/>
      <c r="BI61" s="583"/>
      <c r="BJ61" s="583"/>
      <c r="BK61" s="584"/>
      <c r="BL61" s="420"/>
      <c r="BO61" s="395">
        <f>'Worksheet (2)'!$AH40</f>
        <v>-1.375</v>
      </c>
      <c r="BP61" s="396">
        <f>ROUND(+BR56+12,0)</f>
        <v>12</v>
      </c>
      <c r="BQ61" s="597" t="s">
        <v>29</v>
      </c>
      <c r="BR61" s="598"/>
      <c r="BS61" s="599"/>
      <c r="BT61" s="394" t="str">
        <f>+IF('Worksheet (2)'!$K40&gt;0,"facia brkts","reg. brkts")</f>
        <v>reg. brkts</v>
      </c>
      <c r="BV61" s="395">
        <f>BO61</f>
        <v>-1.375</v>
      </c>
      <c r="BW61" s="396">
        <f>BP61</f>
        <v>12</v>
      </c>
      <c r="BX61" s="583"/>
      <c r="BY61" s="583"/>
      <c r="BZ61" s="583"/>
      <c r="CA61" s="584"/>
    </row>
    <row r="62" spans="1:79" ht="31.8" thickBot="1" x14ac:dyDescent="0.65">
      <c r="C62" s="397"/>
      <c r="D62" s="398" t="str">
        <f>+IF($C56&gt;0,"ROLLERSHADE","do not use")</f>
        <v>do not use</v>
      </c>
      <c r="E62" s="399"/>
      <c r="F62" s="399"/>
      <c r="G62" s="399"/>
      <c r="H62" s="400"/>
      <c r="J62" s="401"/>
      <c r="K62" s="398" t="str">
        <f>+IF(C56&gt;0,"TUBE SIZE","do not use")</f>
        <v>do not use</v>
      </c>
      <c r="L62" s="399"/>
      <c r="M62" s="408" t="str">
        <f>IF(K62="TUBE SIZE",C56,IF('Worksheet (2)'!E64="Fabric ONLY","Fabric ONLY"," "))</f>
        <v xml:space="preserve"> </v>
      </c>
      <c r="N62" s="399"/>
      <c r="O62" s="400"/>
      <c r="P62" s="384"/>
      <c r="S62" s="397"/>
      <c r="T62" s="398" t="str">
        <f>+IF($T56&gt;0,"ROLLERSHADE","do not use")</f>
        <v>do not use</v>
      </c>
      <c r="U62" s="399"/>
      <c r="V62" s="399"/>
      <c r="W62" s="399"/>
      <c r="X62" s="400"/>
      <c r="Z62" s="401"/>
      <c r="AA62" s="398" t="str">
        <f>+IF(S56&gt;0,"TUBE SIZE","do not use")</f>
        <v>do not use</v>
      </c>
      <c r="AB62" s="399"/>
      <c r="AC62" s="408" t="str">
        <f>IF(AA62="TUBE SIZE",S56,IF('Worksheet (2)'!U64="Fabric ONLY","Fabric ONLY"," "))</f>
        <v xml:space="preserve"> </v>
      </c>
      <c r="AD62" s="399"/>
      <c r="AE62" s="400"/>
      <c r="AF62" s="384"/>
      <c r="AI62" s="397"/>
      <c r="AJ62" s="398" t="str">
        <f>+IF($AI56&gt;0,"ROLLERSHADE","do not use")</f>
        <v>do not use</v>
      </c>
      <c r="AK62" s="399"/>
      <c r="AL62" s="399"/>
      <c r="AM62" s="399"/>
      <c r="AN62" s="400"/>
      <c r="AP62" s="401"/>
      <c r="AQ62" s="398" t="str">
        <f>+IF(AI56&gt;0,"TUBE SIZE","do not use")</f>
        <v>do not use</v>
      </c>
      <c r="AR62" s="399"/>
      <c r="AS62" s="408" t="str">
        <f>IF(AQ62="TUBE SIZE",AI56,IF('Worksheet (2)'!AR64="Fabric ONLY","Fabric ONLY"," "))</f>
        <v xml:space="preserve"> </v>
      </c>
      <c r="AT62" s="399"/>
      <c r="AU62" s="400"/>
      <c r="AV62" s="384"/>
      <c r="AY62" s="397"/>
      <c r="AZ62" s="398" t="str">
        <f>+IF($AY56&gt;0,"ROLLERSHADE","do not use")</f>
        <v>do not use</v>
      </c>
      <c r="BA62" s="399"/>
      <c r="BB62" s="399"/>
      <c r="BC62" s="399"/>
      <c r="BD62" s="400"/>
      <c r="BF62" s="401"/>
      <c r="BG62" s="398" t="str">
        <f>+IF(AY56&gt;0,"TUBE SIZE","do not use")</f>
        <v>do not use</v>
      </c>
      <c r="BH62" s="399"/>
      <c r="BI62" s="408" t="str">
        <f>IF(BG62="TUBE SIZE",AY56,IF('Worksheet (2)'!BH64="Fabric ONLY","Fabric ONLY"," "))</f>
        <v xml:space="preserve"> </v>
      </c>
      <c r="BJ62" s="399"/>
      <c r="BK62" s="400"/>
      <c r="BL62" s="384"/>
      <c r="BO62" s="397"/>
      <c r="BP62" s="398" t="str">
        <f>+IF($BO56&gt;0,"ROLLERSHADE","do not use")</f>
        <v>do not use</v>
      </c>
      <c r="BQ62" s="399"/>
      <c r="BR62" s="399"/>
      <c r="BS62" s="399"/>
      <c r="BT62" s="400"/>
      <c r="BV62" s="401"/>
      <c r="BW62" s="398" t="str">
        <f>+IF(BO56&gt;0,"TUBE SIZE","do not use")</f>
        <v>do not use</v>
      </c>
      <c r="BX62" s="399"/>
      <c r="BY62" s="408" t="str">
        <f>IF(BW62="TUBE SIZE",BO56,IF('Worksheet (2)'!BX64="Fabric ONLY","Fabric ONLY"," "))</f>
        <v xml:space="preserve"> </v>
      </c>
      <c r="BZ62" s="399"/>
      <c r="CA62" s="400"/>
    </row>
    <row r="63" spans="1:79" ht="18" customHeight="1" x14ac:dyDescent="0.45">
      <c r="AI63" s="407"/>
      <c r="AJ63" s="384"/>
      <c r="AK63" s="384"/>
      <c r="AL63" s="384"/>
      <c r="AM63" s="384"/>
      <c r="AN63" s="406"/>
      <c r="AY63" s="407"/>
      <c r="AZ63" s="384"/>
      <c r="BA63" s="384"/>
      <c r="BB63" s="384"/>
      <c r="BC63" s="384"/>
      <c r="BD63" s="406"/>
    </row>
    <row r="64" spans="1:79" ht="20.25" customHeight="1" x14ac:dyDescent="0.3"/>
    <row r="65" spans="1:79" s="364" customFormat="1" ht="20.25" customHeight="1" x14ac:dyDescent="0.3">
      <c r="A65" s="352"/>
      <c r="B65" s="352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2"/>
      <c r="R65" s="352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  <c r="AG65" s="352"/>
      <c r="AH65" s="352"/>
      <c r="AI65" s="354"/>
      <c r="AJ65" s="354"/>
      <c r="AK65" s="354"/>
      <c r="AL65" s="354"/>
      <c r="AM65" s="354"/>
      <c r="AN65" s="354"/>
      <c r="AO65" s="354"/>
      <c r="AP65" s="354"/>
      <c r="AQ65" s="354"/>
      <c r="AR65" s="354"/>
      <c r="AS65" s="354"/>
      <c r="AT65" s="354"/>
      <c r="AU65" s="354"/>
      <c r="AV65" s="354"/>
      <c r="AW65" s="352"/>
      <c r="AX65" s="352"/>
      <c r="AY65" s="354"/>
      <c r="AZ65" s="354"/>
      <c r="BA65" s="354"/>
      <c r="BB65" s="354"/>
      <c r="BC65" s="354"/>
      <c r="BD65" s="354"/>
      <c r="BE65" s="354"/>
      <c r="BF65" s="354"/>
      <c r="BG65" s="354"/>
      <c r="BH65" s="354"/>
      <c r="BI65" s="354"/>
      <c r="BJ65" s="354"/>
      <c r="BK65" s="354"/>
      <c r="BL65" s="354"/>
      <c r="BM65" s="352"/>
      <c r="BN65" s="352"/>
      <c r="BO65" s="354"/>
      <c r="BP65" s="354"/>
      <c r="BQ65" s="354"/>
      <c r="BR65" s="354"/>
      <c r="BS65" s="354"/>
      <c r="BT65" s="354"/>
      <c r="BU65" s="354"/>
      <c r="BV65" s="354"/>
      <c r="BW65" s="354"/>
      <c r="BX65" s="354"/>
      <c r="BY65" s="354"/>
      <c r="BZ65" s="354"/>
      <c r="CA65" s="354"/>
    </row>
    <row r="66" spans="1:79" s="364" customFormat="1" x14ac:dyDescent="0.3">
      <c r="A66" s="352"/>
      <c r="B66" s="352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2"/>
      <c r="R66" s="352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4"/>
      <c r="AG66" s="352"/>
      <c r="AH66" s="352"/>
      <c r="AI66" s="354"/>
      <c r="AJ66" s="354"/>
      <c r="AK66" s="354"/>
      <c r="AL66" s="354"/>
      <c r="AM66" s="354"/>
      <c r="AN66" s="354"/>
      <c r="AO66" s="354"/>
      <c r="AP66" s="354"/>
      <c r="AQ66" s="354"/>
      <c r="AR66" s="354"/>
      <c r="AS66" s="354"/>
      <c r="AT66" s="354"/>
      <c r="AU66" s="354"/>
      <c r="AV66" s="354"/>
      <c r="AW66" s="352"/>
      <c r="AX66" s="352"/>
      <c r="AY66" s="354"/>
      <c r="AZ66" s="354"/>
      <c r="BA66" s="354"/>
      <c r="BB66" s="354"/>
      <c r="BC66" s="354"/>
      <c r="BD66" s="354"/>
      <c r="BE66" s="354"/>
      <c r="BF66" s="354"/>
      <c r="BG66" s="354"/>
      <c r="BH66" s="354"/>
      <c r="BI66" s="354"/>
      <c r="BJ66" s="354"/>
      <c r="BK66" s="354"/>
      <c r="BL66" s="354"/>
      <c r="BM66" s="352"/>
      <c r="BN66" s="352"/>
      <c r="BO66" s="354"/>
      <c r="BP66" s="354"/>
      <c r="BQ66" s="354"/>
      <c r="BR66" s="354"/>
      <c r="BS66" s="354"/>
      <c r="BT66" s="354"/>
      <c r="BU66" s="354"/>
      <c r="BV66" s="354"/>
      <c r="BW66" s="354"/>
      <c r="BX66" s="354"/>
      <c r="BY66" s="354"/>
      <c r="BZ66" s="354"/>
      <c r="CA66" s="354"/>
    </row>
    <row r="67" spans="1:79" s="364" customFormat="1" x14ac:dyDescent="0.3">
      <c r="A67" s="352"/>
      <c r="B67" s="352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2"/>
      <c r="R67" s="352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2"/>
      <c r="AH67" s="352"/>
      <c r="AI67" s="354"/>
      <c r="AJ67" s="354"/>
      <c r="AK67" s="354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2"/>
      <c r="AX67" s="352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2"/>
      <c r="BN67" s="352"/>
      <c r="BO67" s="354"/>
      <c r="BP67" s="354"/>
      <c r="BQ67" s="354"/>
      <c r="BR67" s="354"/>
      <c r="BS67" s="354"/>
      <c r="BT67" s="354"/>
      <c r="BU67" s="354"/>
      <c r="BV67" s="354"/>
      <c r="BW67" s="354"/>
      <c r="BX67" s="354"/>
      <c r="BY67" s="354"/>
      <c r="BZ67" s="354"/>
      <c r="CA67" s="354"/>
    </row>
    <row r="68" spans="1:79" s="364" customFormat="1" x14ac:dyDescent="0.3">
      <c r="A68" s="352"/>
      <c r="B68" s="352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2"/>
      <c r="R68" s="352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  <c r="AG68" s="352"/>
      <c r="AH68" s="352"/>
      <c r="AI68" s="354"/>
      <c r="AJ68" s="354"/>
      <c r="AK68" s="354"/>
      <c r="AL68" s="354"/>
      <c r="AM68" s="354"/>
      <c r="AN68" s="354"/>
      <c r="AO68" s="354"/>
      <c r="AP68" s="354"/>
      <c r="AQ68" s="354"/>
      <c r="AR68" s="354"/>
      <c r="AS68" s="354"/>
      <c r="AT68" s="354"/>
      <c r="AU68" s="354"/>
      <c r="AV68" s="354"/>
      <c r="AW68" s="352"/>
      <c r="AX68" s="352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2"/>
      <c r="BN68" s="352"/>
      <c r="BO68" s="354"/>
      <c r="BP68" s="354"/>
      <c r="BQ68" s="354"/>
      <c r="BR68" s="354"/>
      <c r="BS68" s="354"/>
      <c r="BT68" s="354"/>
      <c r="BU68" s="354"/>
      <c r="BV68" s="354"/>
      <c r="BW68" s="354"/>
      <c r="BX68" s="354"/>
      <c r="BY68" s="354"/>
      <c r="BZ68" s="354"/>
      <c r="CA68" s="354"/>
    </row>
    <row r="71" spans="1:79" s="391" customFormat="1" ht="20.25" customHeight="1" x14ac:dyDescent="0.3">
      <c r="A71" s="352"/>
      <c r="B71" s="352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2"/>
      <c r="R71" s="352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  <c r="AG71" s="352"/>
      <c r="AH71" s="352"/>
      <c r="AI71" s="354"/>
      <c r="AJ71" s="354"/>
      <c r="AK71" s="354"/>
      <c r="AL71" s="354"/>
      <c r="AM71" s="354"/>
      <c r="AN71" s="354"/>
      <c r="AO71" s="354"/>
      <c r="AP71" s="354"/>
      <c r="AQ71" s="354"/>
      <c r="AR71" s="354"/>
      <c r="AS71" s="354"/>
      <c r="AT71" s="354"/>
      <c r="AU71" s="354"/>
      <c r="AV71" s="354"/>
      <c r="AW71" s="352"/>
      <c r="AX71" s="352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2"/>
      <c r="BN71" s="352"/>
      <c r="BO71" s="354"/>
      <c r="BP71" s="354"/>
      <c r="BQ71" s="354"/>
      <c r="BR71" s="354"/>
      <c r="BS71" s="354"/>
      <c r="BT71" s="354"/>
      <c r="BU71" s="354"/>
      <c r="BV71" s="354"/>
      <c r="BW71" s="354"/>
      <c r="BX71" s="354"/>
      <c r="BY71" s="354"/>
      <c r="BZ71" s="354"/>
      <c r="CA71" s="354"/>
    </row>
    <row r="72" spans="1:79" ht="16.5" customHeight="1" x14ac:dyDescent="0.3"/>
    <row r="73" spans="1:79" ht="25.5" customHeight="1" x14ac:dyDescent="0.3"/>
    <row r="74" spans="1:79" ht="29.25" customHeight="1" x14ac:dyDescent="0.3"/>
    <row r="75" spans="1:79" ht="60" customHeight="1" x14ac:dyDescent="0.3"/>
    <row r="76" spans="1:79" ht="20.25" customHeight="1" x14ac:dyDescent="0.3"/>
    <row r="77" spans="1:79" s="364" customFormat="1" ht="20.25" customHeight="1" x14ac:dyDescent="0.3">
      <c r="A77" s="352"/>
      <c r="B77" s="352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4"/>
      <c r="P77" s="354"/>
      <c r="Q77" s="352"/>
      <c r="R77" s="352"/>
      <c r="S77" s="354"/>
      <c r="T77" s="354"/>
      <c r="U77" s="354"/>
      <c r="V77" s="354"/>
      <c r="W77" s="354"/>
      <c r="X77" s="354"/>
      <c r="Y77" s="354"/>
      <c r="Z77" s="354"/>
      <c r="AA77" s="354"/>
      <c r="AB77" s="354"/>
      <c r="AC77" s="354"/>
      <c r="AD77" s="354"/>
      <c r="AE77" s="354"/>
      <c r="AF77" s="354"/>
      <c r="AG77" s="352"/>
      <c r="AH77" s="352"/>
      <c r="AI77" s="354"/>
      <c r="AJ77" s="354"/>
      <c r="AK77" s="354"/>
      <c r="AL77" s="354"/>
      <c r="AM77" s="354"/>
      <c r="AN77" s="354"/>
      <c r="AO77" s="354"/>
      <c r="AP77" s="354"/>
      <c r="AQ77" s="354"/>
      <c r="AR77" s="354"/>
      <c r="AS77" s="354"/>
      <c r="AT77" s="354"/>
      <c r="AU77" s="354"/>
      <c r="AV77" s="354"/>
      <c r="AW77" s="352"/>
      <c r="AX77" s="352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2"/>
      <c r="BN77" s="352"/>
      <c r="BO77" s="354"/>
      <c r="BP77" s="354"/>
      <c r="BQ77" s="354"/>
      <c r="BR77" s="354"/>
      <c r="BS77" s="354"/>
      <c r="BT77" s="354"/>
      <c r="BU77" s="354"/>
      <c r="BV77" s="354"/>
      <c r="BW77" s="354"/>
      <c r="BX77" s="354"/>
      <c r="BY77" s="354"/>
      <c r="BZ77" s="354"/>
      <c r="CA77" s="354"/>
    </row>
    <row r="78" spans="1:79" s="364" customFormat="1" x14ac:dyDescent="0.3">
      <c r="A78" s="352"/>
      <c r="B78" s="352"/>
      <c r="C78" s="354"/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2"/>
      <c r="R78" s="352"/>
      <c r="S78" s="354"/>
      <c r="T78" s="354"/>
      <c r="U78" s="354"/>
      <c r="V78" s="354"/>
      <c r="W78" s="354"/>
      <c r="X78" s="354"/>
      <c r="Y78" s="354"/>
      <c r="Z78" s="354"/>
      <c r="AA78" s="354"/>
      <c r="AB78" s="354"/>
      <c r="AC78" s="354"/>
      <c r="AD78" s="354"/>
      <c r="AE78" s="354"/>
      <c r="AF78" s="354"/>
      <c r="AG78" s="352"/>
      <c r="AH78" s="352"/>
      <c r="AI78" s="354"/>
      <c r="AJ78" s="354"/>
      <c r="AK78" s="354"/>
      <c r="AL78" s="354"/>
      <c r="AM78" s="354"/>
      <c r="AN78" s="354"/>
      <c r="AO78" s="354"/>
      <c r="AP78" s="354"/>
      <c r="AQ78" s="354"/>
      <c r="AR78" s="354"/>
      <c r="AS78" s="354"/>
      <c r="AT78" s="354"/>
      <c r="AU78" s="354"/>
      <c r="AV78" s="354"/>
      <c r="AW78" s="352"/>
      <c r="AX78" s="352"/>
      <c r="AY78" s="354"/>
      <c r="AZ78" s="354"/>
      <c r="BA78" s="354"/>
      <c r="BB78" s="354"/>
      <c r="BC78" s="354"/>
      <c r="BD78" s="354"/>
      <c r="BE78" s="354"/>
      <c r="BF78" s="354"/>
      <c r="BG78" s="354"/>
      <c r="BH78" s="354"/>
      <c r="BI78" s="354"/>
      <c r="BJ78" s="354"/>
      <c r="BK78" s="354"/>
      <c r="BL78" s="354"/>
      <c r="BM78" s="352"/>
      <c r="BN78" s="352"/>
      <c r="BO78" s="354"/>
      <c r="BP78" s="354"/>
      <c r="BQ78" s="354"/>
      <c r="BR78" s="354"/>
      <c r="BS78" s="354"/>
      <c r="BT78" s="354"/>
      <c r="BU78" s="354"/>
      <c r="BV78" s="354"/>
      <c r="BW78" s="354"/>
      <c r="BX78" s="354"/>
      <c r="BY78" s="354"/>
      <c r="BZ78" s="354"/>
      <c r="CA78" s="354"/>
    </row>
    <row r="79" spans="1:79" s="364" customFormat="1" x14ac:dyDescent="0.3">
      <c r="A79" s="352"/>
      <c r="B79" s="352"/>
      <c r="C79" s="354"/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2"/>
      <c r="R79" s="352"/>
      <c r="S79" s="354"/>
      <c r="T79" s="354"/>
      <c r="U79" s="354"/>
      <c r="V79" s="354"/>
      <c r="W79" s="354"/>
      <c r="X79" s="354"/>
      <c r="Y79" s="354"/>
      <c r="Z79" s="354"/>
      <c r="AA79" s="354"/>
      <c r="AB79" s="354"/>
      <c r="AC79" s="354"/>
      <c r="AD79" s="354"/>
      <c r="AE79" s="354"/>
      <c r="AF79" s="354"/>
      <c r="AG79" s="352"/>
      <c r="AH79" s="352"/>
      <c r="AI79" s="354"/>
      <c r="AJ79" s="354"/>
      <c r="AK79" s="354"/>
      <c r="AL79" s="354"/>
      <c r="AM79" s="354"/>
      <c r="AN79" s="354"/>
      <c r="AO79" s="354"/>
      <c r="AP79" s="354"/>
      <c r="AQ79" s="354"/>
      <c r="AR79" s="354"/>
      <c r="AS79" s="354"/>
      <c r="AT79" s="354"/>
      <c r="AU79" s="354"/>
      <c r="AV79" s="354"/>
      <c r="AW79" s="352"/>
      <c r="AX79" s="352"/>
      <c r="AY79" s="354"/>
      <c r="AZ79" s="354"/>
      <c r="BA79" s="354"/>
      <c r="BB79" s="354"/>
      <c r="BC79" s="354"/>
      <c r="BD79" s="354"/>
      <c r="BE79" s="354"/>
      <c r="BF79" s="354"/>
      <c r="BG79" s="354"/>
      <c r="BH79" s="354"/>
      <c r="BI79" s="354"/>
      <c r="BJ79" s="354"/>
      <c r="BK79" s="354"/>
      <c r="BL79" s="354"/>
      <c r="BM79" s="352"/>
      <c r="BN79" s="352"/>
      <c r="BO79" s="354"/>
      <c r="BP79" s="354"/>
      <c r="BQ79" s="354"/>
      <c r="BR79" s="354"/>
      <c r="BS79" s="354"/>
      <c r="BT79" s="354"/>
      <c r="BU79" s="354"/>
      <c r="BV79" s="354"/>
      <c r="BW79" s="354"/>
      <c r="BX79" s="354"/>
      <c r="BY79" s="354"/>
      <c r="BZ79" s="354"/>
      <c r="CA79" s="354"/>
    </row>
    <row r="80" spans="1:79" s="364" customFormat="1" x14ac:dyDescent="0.3">
      <c r="A80" s="352"/>
      <c r="B80" s="352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2"/>
      <c r="R80" s="352"/>
      <c r="S80" s="354"/>
      <c r="T80" s="354"/>
      <c r="U80" s="354"/>
      <c r="V80" s="354"/>
      <c r="W80" s="354"/>
      <c r="X80" s="354"/>
      <c r="Y80" s="354"/>
      <c r="Z80" s="354"/>
      <c r="AA80" s="354"/>
      <c r="AB80" s="354"/>
      <c r="AC80" s="354"/>
      <c r="AD80" s="354"/>
      <c r="AE80" s="354"/>
      <c r="AF80" s="354"/>
      <c r="AG80" s="352"/>
      <c r="AH80" s="352"/>
      <c r="AI80" s="354"/>
      <c r="AJ80" s="354"/>
      <c r="AK80" s="354"/>
      <c r="AL80" s="354"/>
      <c r="AM80" s="354"/>
      <c r="AN80" s="354"/>
      <c r="AO80" s="354"/>
      <c r="AP80" s="354"/>
      <c r="AQ80" s="354"/>
      <c r="AR80" s="354"/>
      <c r="AS80" s="354"/>
      <c r="AT80" s="354"/>
      <c r="AU80" s="354"/>
      <c r="AV80" s="354"/>
      <c r="AW80" s="352"/>
      <c r="AX80" s="352"/>
      <c r="AY80" s="354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354"/>
      <c r="BM80" s="352"/>
      <c r="BN80" s="352"/>
      <c r="BO80" s="354"/>
      <c r="BP80" s="354"/>
      <c r="BQ80" s="354"/>
      <c r="BR80" s="354"/>
      <c r="BS80" s="354"/>
      <c r="BT80" s="354"/>
      <c r="BU80" s="354"/>
      <c r="BV80" s="354"/>
      <c r="BW80" s="354"/>
      <c r="BX80" s="354"/>
      <c r="BY80" s="354"/>
      <c r="BZ80" s="354"/>
      <c r="CA80" s="354"/>
    </row>
    <row r="83" spans="1:79" s="391" customFormat="1" x14ac:dyDescent="0.3">
      <c r="A83" s="352"/>
      <c r="B83" s="352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2"/>
      <c r="R83" s="352"/>
      <c r="S83" s="354"/>
      <c r="T83" s="354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2"/>
      <c r="AH83" s="352"/>
      <c r="AI83" s="354"/>
      <c r="AJ83" s="354"/>
      <c r="AK83" s="354"/>
      <c r="AL83" s="354"/>
      <c r="AM83" s="354"/>
      <c r="AN83" s="354"/>
      <c r="AO83" s="354"/>
      <c r="AP83" s="354"/>
      <c r="AQ83" s="354"/>
      <c r="AR83" s="354"/>
      <c r="AS83" s="354"/>
      <c r="AT83" s="354"/>
      <c r="AU83" s="354"/>
      <c r="AV83" s="354"/>
      <c r="AW83" s="352"/>
      <c r="AX83" s="352"/>
      <c r="AY83" s="354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354"/>
      <c r="BM83" s="352"/>
      <c r="BN83" s="352"/>
      <c r="BO83" s="354"/>
      <c r="BP83" s="354"/>
      <c r="BQ83" s="354"/>
      <c r="BR83" s="354"/>
      <c r="BS83" s="354"/>
      <c r="BT83" s="354"/>
      <c r="BU83" s="354"/>
      <c r="BV83" s="354"/>
      <c r="BW83" s="354"/>
      <c r="BX83" s="354"/>
      <c r="BY83" s="354"/>
      <c r="BZ83" s="354"/>
      <c r="CA83" s="354"/>
    </row>
    <row r="85" spans="1:79" ht="28.5" customHeight="1" x14ac:dyDescent="0.3"/>
    <row r="86" spans="1:79" ht="30.75" customHeight="1" x14ac:dyDescent="0.3"/>
    <row r="87" spans="1:79" ht="54.9" customHeight="1" x14ac:dyDescent="0.3"/>
    <row r="88" spans="1:79" ht="20.25" customHeight="1" x14ac:dyDescent="0.3"/>
    <row r="89" spans="1:79" ht="20.25" customHeight="1" x14ac:dyDescent="0.3"/>
    <row r="90" spans="1:79" s="364" customFormat="1" x14ac:dyDescent="0.3">
      <c r="A90" s="352"/>
      <c r="B90" s="352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2"/>
      <c r="R90" s="352"/>
      <c r="S90" s="354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2"/>
      <c r="AH90" s="352"/>
      <c r="AI90" s="354"/>
      <c r="AJ90" s="354"/>
      <c r="AK90" s="354"/>
      <c r="AL90" s="354"/>
      <c r="AM90" s="354"/>
      <c r="AN90" s="354"/>
      <c r="AO90" s="354"/>
      <c r="AP90" s="354"/>
      <c r="AQ90" s="354"/>
      <c r="AR90" s="354"/>
      <c r="AS90" s="354"/>
      <c r="AT90" s="354"/>
      <c r="AU90" s="354"/>
      <c r="AV90" s="354"/>
      <c r="AW90" s="352"/>
      <c r="AX90" s="352"/>
      <c r="AY90" s="354"/>
      <c r="AZ90" s="354"/>
      <c r="BA90" s="354"/>
      <c r="BB90" s="354"/>
      <c r="BC90" s="354"/>
      <c r="BD90" s="354"/>
      <c r="BE90" s="354"/>
      <c r="BF90" s="354"/>
      <c r="BG90" s="354"/>
      <c r="BH90" s="354"/>
      <c r="BI90" s="354"/>
      <c r="BJ90" s="354"/>
      <c r="BK90" s="354"/>
      <c r="BL90" s="354"/>
      <c r="BM90" s="352"/>
      <c r="BN90" s="352"/>
      <c r="BO90" s="354"/>
      <c r="BP90" s="354"/>
      <c r="BQ90" s="354"/>
      <c r="BR90" s="354"/>
      <c r="BS90" s="354"/>
      <c r="BT90" s="354"/>
      <c r="BU90" s="354"/>
      <c r="BV90" s="354"/>
      <c r="BW90" s="354"/>
      <c r="BX90" s="354"/>
      <c r="BY90" s="354"/>
      <c r="BZ90" s="354"/>
      <c r="CA90" s="354"/>
    </row>
    <row r="91" spans="1:79" s="364" customFormat="1" x14ac:dyDescent="0.3">
      <c r="A91" s="352"/>
      <c r="B91" s="352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2"/>
      <c r="R91" s="352"/>
      <c r="S91" s="354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2"/>
      <c r="AH91" s="352"/>
      <c r="AI91" s="354"/>
      <c r="AJ91" s="354"/>
      <c r="AK91" s="354"/>
      <c r="AL91" s="354"/>
      <c r="AM91" s="354"/>
      <c r="AN91" s="354"/>
      <c r="AO91" s="354"/>
      <c r="AP91" s="354"/>
      <c r="AQ91" s="354"/>
      <c r="AR91" s="354"/>
      <c r="AS91" s="354"/>
      <c r="AT91" s="354"/>
      <c r="AU91" s="354"/>
      <c r="AV91" s="354"/>
      <c r="AW91" s="352"/>
      <c r="AX91" s="352"/>
      <c r="AY91" s="354"/>
      <c r="AZ91" s="354"/>
      <c r="BA91" s="354"/>
      <c r="BB91" s="354"/>
      <c r="BC91" s="354"/>
      <c r="BD91" s="354"/>
      <c r="BE91" s="354"/>
      <c r="BF91" s="354"/>
      <c r="BG91" s="354"/>
      <c r="BH91" s="354"/>
      <c r="BI91" s="354"/>
      <c r="BJ91" s="354"/>
      <c r="BK91" s="354"/>
      <c r="BL91" s="354"/>
      <c r="BM91" s="352"/>
      <c r="BN91" s="352"/>
      <c r="BO91" s="354"/>
      <c r="BP91" s="354"/>
      <c r="BQ91" s="354"/>
      <c r="BR91" s="354"/>
      <c r="BS91" s="354"/>
      <c r="BT91" s="354"/>
      <c r="BU91" s="354"/>
      <c r="BV91" s="354"/>
      <c r="BW91" s="354"/>
      <c r="BX91" s="354"/>
      <c r="BY91" s="354"/>
      <c r="BZ91" s="354"/>
      <c r="CA91" s="354"/>
    </row>
    <row r="92" spans="1:79" s="364" customFormat="1" x14ac:dyDescent="0.3">
      <c r="A92" s="352"/>
      <c r="B92" s="352"/>
      <c r="C92" s="354"/>
      <c r="D92" s="354"/>
      <c r="E92" s="354"/>
      <c r="F92" s="354"/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2"/>
      <c r="R92" s="352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2"/>
      <c r="AH92" s="352"/>
      <c r="AI92" s="354"/>
      <c r="AJ92" s="354"/>
      <c r="AK92" s="354"/>
      <c r="AL92" s="354"/>
      <c r="AM92" s="354"/>
      <c r="AN92" s="354"/>
      <c r="AO92" s="354"/>
      <c r="AP92" s="354"/>
      <c r="AQ92" s="354"/>
      <c r="AR92" s="354"/>
      <c r="AS92" s="354"/>
      <c r="AT92" s="354"/>
      <c r="AU92" s="354"/>
      <c r="AV92" s="354"/>
      <c r="AW92" s="352"/>
      <c r="AX92" s="352"/>
      <c r="AY92" s="354"/>
      <c r="AZ92" s="354"/>
      <c r="BA92" s="354"/>
      <c r="BB92" s="354"/>
      <c r="BC92" s="354"/>
      <c r="BD92" s="354"/>
      <c r="BE92" s="354"/>
      <c r="BF92" s="354"/>
      <c r="BG92" s="354"/>
      <c r="BH92" s="354"/>
      <c r="BI92" s="354"/>
      <c r="BJ92" s="354"/>
      <c r="BK92" s="354"/>
      <c r="BL92" s="354"/>
      <c r="BM92" s="352"/>
      <c r="BN92" s="352"/>
      <c r="BO92" s="354"/>
      <c r="BP92" s="354"/>
      <c r="BQ92" s="354"/>
      <c r="BR92" s="354"/>
      <c r="BS92" s="354"/>
      <c r="BT92" s="354"/>
      <c r="BU92" s="354"/>
      <c r="BV92" s="354"/>
      <c r="BW92" s="354"/>
      <c r="BX92" s="354"/>
      <c r="BY92" s="354"/>
      <c r="BZ92" s="354"/>
      <c r="CA92" s="354"/>
    </row>
    <row r="95" spans="1:79" s="391" customFormat="1" x14ac:dyDescent="0.3">
      <c r="A95" s="352"/>
      <c r="B95" s="352"/>
      <c r="C95" s="354"/>
      <c r="D95" s="354"/>
      <c r="E95" s="354"/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4"/>
      <c r="Q95" s="352"/>
      <c r="R95" s="352"/>
      <c r="S95" s="354"/>
      <c r="T95" s="354"/>
      <c r="U95" s="354"/>
      <c r="V95" s="354"/>
      <c r="W95" s="354"/>
      <c r="X95" s="354"/>
      <c r="Y95" s="354"/>
      <c r="Z95" s="354"/>
      <c r="AA95" s="354"/>
      <c r="AB95" s="354"/>
      <c r="AC95" s="354"/>
      <c r="AD95" s="354"/>
      <c r="AE95" s="354"/>
      <c r="AF95" s="354"/>
      <c r="AG95" s="352"/>
      <c r="AH95" s="352"/>
      <c r="AI95" s="354"/>
      <c r="AJ95" s="354"/>
      <c r="AK95" s="354"/>
      <c r="AL95" s="354"/>
      <c r="AM95" s="354"/>
      <c r="AN95" s="354"/>
      <c r="AO95" s="354"/>
      <c r="AP95" s="354"/>
      <c r="AQ95" s="354"/>
      <c r="AR95" s="354"/>
      <c r="AS95" s="354"/>
      <c r="AT95" s="354"/>
      <c r="AU95" s="354"/>
      <c r="AV95" s="354"/>
      <c r="AW95" s="352"/>
      <c r="AX95" s="352"/>
      <c r="AY95" s="354"/>
      <c r="AZ95" s="354"/>
      <c r="BA95" s="354"/>
      <c r="BB95" s="354"/>
      <c r="BC95" s="354"/>
      <c r="BD95" s="354"/>
      <c r="BE95" s="354"/>
      <c r="BF95" s="354"/>
      <c r="BG95" s="354"/>
      <c r="BH95" s="354"/>
      <c r="BI95" s="354"/>
      <c r="BJ95" s="354"/>
      <c r="BK95" s="354"/>
      <c r="BL95" s="354"/>
      <c r="BM95" s="352"/>
      <c r="BN95" s="352"/>
      <c r="BO95" s="354"/>
      <c r="BP95" s="354"/>
      <c r="BQ95" s="354"/>
      <c r="BR95" s="354"/>
      <c r="BS95" s="354"/>
      <c r="BT95" s="354"/>
      <c r="BU95" s="354"/>
      <c r="BV95" s="354"/>
      <c r="BW95" s="354"/>
      <c r="BX95" s="354"/>
      <c r="BY95" s="354"/>
      <c r="BZ95" s="354"/>
      <c r="CA95" s="354"/>
    </row>
    <row r="98" spans="1:79" ht="31.65" customHeight="1" x14ac:dyDescent="0.3"/>
    <row r="99" spans="1:79" ht="54.9" customHeight="1" x14ac:dyDescent="0.3"/>
    <row r="100" spans="1:79" ht="20.25" customHeight="1" x14ac:dyDescent="0.3"/>
    <row r="101" spans="1:79" ht="20.25" customHeight="1" x14ac:dyDescent="0.3"/>
    <row r="102" spans="1:79" s="364" customFormat="1" x14ac:dyDescent="0.3">
      <c r="A102" s="352"/>
      <c r="B102" s="352"/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2"/>
      <c r="R102" s="352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2"/>
      <c r="AH102" s="352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354"/>
      <c r="AU102" s="354"/>
      <c r="AV102" s="354"/>
      <c r="AW102" s="352"/>
      <c r="AX102" s="352"/>
      <c r="AY102" s="354"/>
      <c r="AZ102" s="354"/>
      <c r="BA102" s="354"/>
      <c r="BB102" s="354"/>
      <c r="BC102" s="354"/>
      <c r="BD102" s="354"/>
      <c r="BE102" s="354"/>
      <c r="BF102" s="354"/>
      <c r="BG102" s="354"/>
      <c r="BH102" s="354"/>
      <c r="BI102" s="354"/>
      <c r="BJ102" s="354"/>
      <c r="BK102" s="354"/>
      <c r="BL102" s="354"/>
      <c r="BM102" s="352"/>
      <c r="BN102" s="352"/>
      <c r="BO102" s="354"/>
      <c r="BP102" s="354"/>
      <c r="BQ102" s="354"/>
      <c r="BR102" s="354"/>
      <c r="BS102" s="354"/>
      <c r="BT102" s="354"/>
      <c r="BU102" s="354"/>
      <c r="BV102" s="354"/>
      <c r="BW102" s="354"/>
      <c r="BX102" s="354"/>
      <c r="BY102" s="354"/>
      <c r="BZ102" s="354"/>
      <c r="CA102" s="354"/>
    </row>
    <row r="104" spans="1:79" s="364" customFormat="1" x14ac:dyDescent="0.3">
      <c r="A104" s="352"/>
      <c r="B104" s="352"/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2"/>
      <c r="R104" s="352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4"/>
      <c r="AF104" s="354"/>
      <c r="AG104" s="352"/>
      <c r="AH104" s="352"/>
      <c r="AI104" s="354"/>
      <c r="AJ104" s="354"/>
      <c r="AK104" s="354"/>
      <c r="AL104" s="354"/>
      <c r="AM104" s="354"/>
      <c r="AN104" s="354"/>
      <c r="AO104" s="354"/>
      <c r="AP104" s="354"/>
      <c r="AQ104" s="354"/>
      <c r="AR104" s="354"/>
      <c r="AS104" s="354"/>
      <c r="AT104" s="354"/>
      <c r="AU104" s="354"/>
      <c r="AV104" s="354"/>
      <c r="AW104" s="352"/>
      <c r="AX104" s="352"/>
      <c r="AY104" s="354"/>
      <c r="AZ104" s="354"/>
      <c r="BA104" s="354"/>
      <c r="BB104" s="354"/>
      <c r="BC104" s="354"/>
      <c r="BD104" s="354"/>
      <c r="BE104" s="354"/>
      <c r="BF104" s="354"/>
      <c r="BG104" s="354"/>
      <c r="BH104" s="354"/>
      <c r="BI104" s="354"/>
      <c r="BJ104" s="354"/>
      <c r="BK104" s="354"/>
      <c r="BL104" s="354"/>
      <c r="BM104" s="352"/>
      <c r="BN104" s="352"/>
      <c r="BO104" s="354"/>
      <c r="BP104" s="354"/>
      <c r="BQ104" s="354"/>
      <c r="BR104" s="354"/>
      <c r="BS104" s="354"/>
      <c r="BT104" s="354"/>
      <c r="BU104" s="354"/>
      <c r="BV104" s="354"/>
      <c r="BW104" s="354"/>
      <c r="BX104" s="354"/>
      <c r="BY104" s="354"/>
      <c r="BZ104" s="354"/>
      <c r="CA104" s="354"/>
    </row>
    <row r="107" spans="1:79" s="391" customFormat="1" x14ac:dyDescent="0.3">
      <c r="A107" s="352"/>
      <c r="B107" s="352"/>
      <c r="C107" s="354"/>
      <c r="D107" s="354"/>
      <c r="E107" s="354"/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2"/>
      <c r="R107" s="352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  <c r="AE107" s="354"/>
      <c r="AF107" s="354"/>
      <c r="AG107" s="352"/>
      <c r="AH107" s="352"/>
      <c r="AI107" s="354"/>
      <c r="AJ107" s="354"/>
      <c r="AK107" s="354"/>
      <c r="AL107" s="354"/>
      <c r="AM107" s="354"/>
      <c r="AN107" s="354"/>
      <c r="AO107" s="354"/>
      <c r="AP107" s="354"/>
      <c r="AQ107" s="354"/>
      <c r="AR107" s="354"/>
      <c r="AS107" s="354"/>
      <c r="AT107" s="354"/>
      <c r="AU107" s="354"/>
      <c r="AV107" s="354"/>
      <c r="AW107" s="352"/>
      <c r="AX107" s="352"/>
      <c r="AY107" s="354"/>
      <c r="AZ107" s="354"/>
      <c r="BA107" s="354"/>
      <c r="BB107" s="354"/>
      <c r="BC107" s="354"/>
      <c r="BD107" s="354"/>
      <c r="BE107" s="354"/>
      <c r="BF107" s="354"/>
      <c r="BG107" s="354"/>
      <c r="BH107" s="354"/>
      <c r="BI107" s="354"/>
      <c r="BJ107" s="354"/>
      <c r="BK107" s="354"/>
      <c r="BL107" s="354"/>
      <c r="BM107" s="352"/>
      <c r="BN107" s="352"/>
      <c r="BO107" s="354"/>
      <c r="BP107" s="354"/>
      <c r="BQ107" s="354"/>
      <c r="BR107" s="354"/>
      <c r="BS107" s="354"/>
      <c r="BT107" s="354"/>
      <c r="BU107" s="354"/>
      <c r="BV107" s="354"/>
      <c r="BW107" s="354"/>
      <c r="BX107" s="354"/>
      <c r="BY107" s="354"/>
      <c r="BZ107" s="354"/>
      <c r="CA107" s="354"/>
    </row>
    <row r="111" spans="1:79" ht="54.9" customHeight="1" x14ac:dyDescent="0.3"/>
    <row r="112" spans="1:79" ht="20.25" customHeight="1" x14ac:dyDescent="0.3"/>
    <row r="113" spans="1:79" ht="20.25" customHeight="1" x14ac:dyDescent="0.3"/>
    <row r="114" spans="1:79" s="364" customFormat="1" x14ac:dyDescent="0.3">
      <c r="A114" s="352"/>
      <c r="B114" s="352"/>
      <c r="C114" s="354"/>
      <c r="D114" s="354"/>
      <c r="E114" s="354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2"/>
      <c r="R114" s="352"/>
      <c r="S114" s="354"/>
      <c r="T114" s="354"/>
      <c r="U114" s="354"/>
      <c r="V114" s="354"/>
      <c r="W114" s="354"/>
      <c r="X114" s="354"/>
      <c r="Y114" s="354"/>
      <c r="Z114" s="354"/>
      <c r="AA114" s="354"/>
      <c r="AB114" s="354"/>
      <c r="AC114" s="354"/>
      <c r="AD114" s="354"/>
      <c r="AE114" s="354"/>
      <c r="AF114" s="354"/>
      <c r="AG114" s="352"/>
      <c r="AH114" s="352"/>
      <c r="AI114" s="354"/>
      <c r="AJ114" s="354"/>
      <c r="AK114" s="354"/>
      <c r="AL114" s="354"/>
      <c r="AM114" s="354"/>
      <c r="AN114" s="354"/>
      <c r="AO114" s="354"/>
      <c r="AP114" s="354"/>
      <c r="AQ114" s="354"/>
      <c r="AR114" s="354"/>
      <c r="AS114" s="354"/>
      <c r="AT114" s="354"/>
      <c r="AU114" s="354"/>
      <c r="AV114" s="354"/>
      <c r="AW114" s="352"/>
      <c r="AX114" s="352"/>
      <c r="AY114" s="354"/>
      <c r="AZ114" s="354"/>
      <c r="BA114" s="354"/>
      <c r="BB114" s="354"/>
      <c r="BC114" s="354"/>
      <c r="BD114" s="354"/>
      <c r="BE114" s="354"/>
      <c r="BF114" s="354"/>
      <c r="BG114" s="354"/>
      <c r="BH114" s="354"/>
      <c r="BI114" s="354"/>
      <c r="BJ114" s="354"/>
      <c r="BK114" s="354"/>
      <c r="BL114" s="354"/>
      <c r="BM114" s="352"/>
      <c r="BN114" s="352"/>
      <c r="BO114" s="354"/>
      <c r="BP114" s="354"/>
      <c r="BQ114" s="354"/>
      <c r="BR114" s="354"/>
      <c r="BS114" s="354"/>
      <c r="BT114" s="354"/>
      <c r="BU114" s="354"/>
      <c r="BV114" s="354"/>
      <c r="BW114" s="354"/>
      <c r="BX114" s="354"/>
      <c r="BY114" s="354"/>
      <c r="BZ114" s="354"/>
      <c r="CA114" s="354"/>
    </row>
    <row r="115" spans="1:79" s="364" customFormat="1" x14ac:dyDescent="0.3">
      <c r="A115" s="352"/>
      <c r="B115" s="352"/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2"/>
      <c r="R115" s="352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2"/>
      <c r="AH115" s="352"/>
      <c r="AI115" s="354"/>
      <c r="AJ115" s="354"/>
      <c r="AK115" s="354"/>
      <c r="AL115" s="354"/>
      <c r="AM115" s="354"/>
      <c r="AN115" s="354"/>
      <c r="AO115" s="354"/>
      <c r="AP115" s="354"/>
      <c r="AQ115" s="354"/>
      <c r="AR115" s="354"/>
      <c r="AS115" s="354"/>
      <c r="AT115" s="354"/>
      <c r="AU115" s="354"/>
      <c r="AV115" s="354"/>
      <c r="AW115" s="352"/>
      <c r="AX115" s="352"/>
      <c r="AY115" s="354"/>
      <c r="AZ115" s="354"/>
      <c r="BA115" s="354"/>
      <c r="BB115" s="354"/>
      <c r="BC115" s="354"/>
      <c r="BD115" s="354"/>
      <c r="BE115" s="354"/>
      <c r="BF115" s="354"/>
      <c r="BG115" s="354"/>
      <c r="BH115" s="354"/>
      <c r="BI115" s="354"/>
      <c r="BJ115" s="354"/>
      <c r="BK115" s="354"/>
      <c r="BL115" s="354"/>
      <c r="BM115" s="352"/>
      <c r="BN115" s="352"/>
      <c r="BO115" s="354"/>
      <c r="BP115" s="354"/>
      <c r="BQ115" s="354"/>
      <c r="BR115" s="354"/>
      <c r="BS115" s="354"/>
      <c r="BT115" s="354"/>
      <c r="BU115" s="354"/>
      <c r="BV115" s="354"/>
      <c r="BW115" s="354"/>
      <c r="BX115" s="354"/>
      <c r="BY115" s="354"/>
      <c r="BZ115" s="354"/>
      <c r="CA115" s="354"/>
    </row>
    <row r="116" spans="1:79" s="364" customFormat="1" x14ac:dyDescent="0.3">
      <c r="A116" s="352"/>
      <c r="B116" s="352"/>
      <c r="C116" s="354"/>
      <c r="D116" s="354"/>
      <c r="E116" s="354"/>
      <c r="F116" s="354"/>
      <c r="G116" s="354"/>
      <c r="H116" s="354"/>
      <c r="I116" s="354"/>
      <c r="J116" s="354"/>
      <c r="K116" s="354"/>
      <c r="L116" s="354"/>
      <c r="M116" s="354"/>
      <c r="N116" s="354"/>
      <c r="O116" s="354"/>
      <c r="P116" s="354"/>
      <c r="Q116" s="352"/>
      <c r="R116" s="352"/>
      <c r="S116" s="354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4"/>
      <c r="AE116" s="354"/>
      <c r="AF116" s="354"/>
      <c r="AG116" s="352"/>
      <c r="AH116" s="352"/>
      <c r="AI116" s="354"/>
      <c r="AJ116" s="354"/>
      <c r="AK116" s="354"/>
      <c r="AL116" s="354"/>
      <c r="AM116" s="354"/>
      <c r="AN116" s="354"/>
      <c r="AO116" s="354"/>
      <c r="AP116" s="354"/>
      <c r="AQ116" s="354"/>
      <c r="AR116" s="354"/>
      <c r="AS116" s="354"/>
      <c r="AT116" s="354"/>
      <c r="AU116" s="354"/>
      <c r="AV116" s="354"/>
      <c r="AW116" s="352"/>
      <c r="AX116" s="352"/>
      <c r="AY116" s="354"/>
      <c r="AZ116" s="354"/>
      <c r="BA116" s="354"/>
      <c r="BB116" s="354"/>
      <c r="BC116" s="354"/>
      <c r="BD116" s="354"/>
      <c r="BE116" s="354"/>
      <c r="BF116" s="354"/>
      <c r="BG116" s="354"/>
      <c r="BH116" s="354"/>
      <c r="BI116" s="354"/>
      <c r="BJ116" s="354"/>
      <c r="BK116" s="354"/>
      <c r="BL116" s="354"/>
      <c r="BM116" s="352"/>
      <c r="BN116" s="352"/>
      <c r="BO116" s="354"/>
      <c r="BP116" s="354"/>
      <c r="BQ116" s="354"/>
      <c r="BR116" s="354"/>
      <c r="BS116" s="354"/>
      <c r="BT116" s="354"/>
      <c r="BU116" s="354"/>
      <c r="BV116" s="354"/>
      <c r="BW116" s="354"/>
      <c r="BX116" s="354"/>
      <c r="BY116" s="354"/>
      <c r="BZ116" s="354"/>
      <c r="CA116" s="354"/>
    </row>
    <row r="119" spans="1:79" s="391" customFormat="1" x14ac:dyDescent="0.3">
      <c r="A119" s="352"/>
      <c r="B119" s="352"/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2"/>
      <c r="R119" s="352"/>
      <c r="S119" s="354"/>
      <c r="T119" s="354"/>
      <c r="U119" s="354"/>
      <c r="V119" s="354"/>
      <c r="W119" s="354"/>
      <c r="X119" s="354"/>
      <c r="Y119" s="354"/>
      <c r="Z119" s="354"/>
      <c r="AA119" s="354"/>
      <c r="AB119" s="354"/>
      <c r="AC119" s="354"/>
      <c r="AD119" s="354"/>
      <c r="AE119" s="354"/>
      <c r="AF119" s="354"/>
      <c r="AG119" s="352"/>
      <c r="AH119" s="352"/>
      <c r="AI119" s="354"/>
      <c r="AJ119" s="354"/>
      <c r="AK119" s="354"/>
      <c r="AL119" s="354"/>
      <c r="AM119" s="354"/>
      <c r="AN119" s="354"/>
      <c r="AO119" s="354"/>
      <c r="AP119" s="354"/>
      <c r="AQ119" s="354"/>
      <c r="AR119" s="354"/>
      <c r="AS119" s="354"/>
      <c r="AT119" s="354"/>
      <c r="AU119" s="354"/>
      <c r="AV119" s="354"/>
      <c r="AW119" s="352"/>
      <c r="AX119" s="352"/>
      <c r="AY119" s="354"/>
      <c r="AZ119" s="354"/>
      <c r="BA119" s="354"/>
      <c r="BB119" s="354"/>
      <c r="BC119" s="354"/>
      <c r="BD119" s="354"/>
      <c r="BE119" s="354"/>
      <c r="BF119" s="354"/>
      <c r="BG119" s="354"/>
      <c r="BH119" s="354"/>
      <c r="BI119" s="354"/>
      <c r="BJ119" s="354"/>
      <c r="BK119" s="354"/>
      <c r="BL119" s="354"/>
      <c r="BM119" s="352"/>
      <c r="BN119" s="352"/>
      <c r="BO119" s="354"/>
      <c r="BP119" s="354"/>
      <c r="BQ119" s="354"/>
      <c r="BR119" s="354"/>
      <c r="BS119" s="354"/>
      <c r="BT119" s="354"/>
      <c r="BU119" s="354"/>
      <c r="BV119" s="354"/>
      <c r="BW119" s="354"/>
      <c r="BX119" s="354"/>
      <c r="BY119" s="354"/>
      <c r="BZ119" s="354"/>
      <c r="CA119" s="354"/>
    </row>
    <row r="123" spans="1:79" ht="18" customHeight="1" x14ac:dyDescent="0.3"/>
    <row r="124" spans="1:79" ht="20.25" customHeight="1" x14ac:dyDescent="0.3"/>
    <row r="125" spans="1:79" s="364" customFormat="1" ht="20.25" customHeight="1" x14ac:dyDescent="0.3">
      <c r="A125" s="352"/>
      <c r="B125" s="352"/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2"/>
      <c r="R125" s="352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2"/>
      <c r="AH125" s="352"/>
      <c r="AI125" s="354"/>
      <c r="AJ125" s="354"/>
      <c r="AK125" s="354"/>
      <c r="AL125" s="354"/>
      <c r="AM125" s="354"/>
      <c r="AN125" s="354"/>
      <c r="AO125" s="354"/>
      <c r="AP125" s="354"/>
      <c r="AQ125" s="354"/>
      <c r="AR125" s="354"/>
      <c r="AS125" s="354"/>
      <c r="AT125" s="354"/>
      <c r="AU125" s="354"/>
      <c r="AV125" s="354"/>
      <c r="AW125" s="352"/>
      <c r="AX125" s="352"/>
      <c r="AY125" s="354"/>
      <c r="AZ125" s="354"/>
      <c r="BA125" s="354"/>
      <c r="BB125" s="354"/>
      <c r="BC125" s="354"/>
      <c r="BD125" s="354"/>
      <c r="BE125" s="354"/>
      <c r="BF125" s="354"/>
      <c r="BG125" s="354"/>
      <c r="BH125" s="354"/>
      <c r="BI125" s="354"/>
      <c r="BJ125" s="354"/>
      <c r="BK125" s="354"/>
      <c r="BL125" s="354"/>
      <c r="BM125" s="352"/>
      <c r="BN125" s="352"/>
      <c r="BO125" s="354"/>
      <c r="BP125" s="354"/>
      <c r="BQ125" s="354"/>
      <c r="BR125" s="354"/>
      <c r="BS125" s="354"/>
      <c r="BT125" s="354"/>
      <c r="BU125" s="354"/>
      <c r="BV125" s="354"/>
      <c r="BW125" s="354"/>
      <c r="BX125" s="354"/>
      <c r="BY125" s="354"/>
      <c r="BZ125" s="354"/>
      <c r="CA125" s="354"/>
    </row>
    <row r="126" spans="1:79" s="364" customFormat="1" x14ac:dyDescent="0.3">
      <c r="A126" s="352"/>
      <c r="B126" s="352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2"/>
      <c r="R126" s="352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2"/>
      <c r="AH126" s="352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2"/>
      <c r="AX126" s="352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2"/>
      <c r="BN126" s="352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</row>
    <row r="127" spans="1:79" s="364" customFormat="1" x14ac:dyDescent="0.3">
      <c r="A127" s="352"/>
      <c r="B127" s="352"/>
      <c r="C127" s="354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2"/>
      <c r="R127" s="352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2"/>
      <c r="AH127" s="352"/>
      <c r="AI127" s="354"/>
      <c r="AJ127" s="354"/>
      <c r="AK127" s="354"/>
      <c r="AL127" s="354"/>
      <c r="AM127" s="354"/>
      <c r="AN127" s="354"/>
      <c r="AO127" s="354"/>
      <c r="AP127" s="354"/>
      <c r="AQ127" s="354"/>
      <c r="AR127" s="354"/>
      <c r="AS127" s="354"/>
      <c r="AT127" s="354"/>
      <c r="AU127" s="354"/>
      <c r="AV127" s="354"/>
      <c r="AW127" s="352"/>
      <c r="AX127" s="352"/>
      <c r="AY127" s="354"/>
      <c r="AZ127" s="354"/>
      <c r="BA127" s="354"/>
      <c r="BB127" s="354"/>
      <c r="BC127" s="354"/>
      <c r="BD127" s="354"/>
      <c r="BE127" s="354"/>
      <c r="BF127" s="354"/>
      <c r="BG127" s="354"/>
      <c r="BH127" s="354"/>
      <c r="BI127" s="354"/>
      <c r="BJ127" s="354"/>
      <c r="BK127" s="354"/>
      <c r="BL127" s="354"/>
      <c r="BM127" s="352"/>
      <c r="BN127" s="352"/>
      <c r="BO127" s="354"/>
      <c r="BP127" s="354"/>
      <c r="BQ127" s="354"/>
      <c r="BR127" s="354"/>
      <c r="BS127" s="354"/>
      <c r="BT127" s="354"/>
      <c r="BU127" s="354"/>
      <c r="BV127" s="354"/>
      <c r="BW127" s="354"/>
      <c r="BX127" s="354"/>
      <c r="BY127" s="354"/>
      <c r="BZ127" s="354"/>
      <c r="CA127" s="354"/>
    </row>
    <row r="128" spans="1:79" s="364" customFormat="1" x14ac:dyDescent="0.3">
      <c r="A128" s="352"/>
      <c r="B128" s="352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2"/>
      <c r="R128" s="352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4"/>
      <c r="AG128" s="352"/>
      <c r="AH128" s="352"/>
      <c r="AI128" s="354"/>
      <c r="AJ128" s="354"/>
      <c r="AK128" s="354"/>
      <c r="AL128" s="354"/>
      <c r="AM128" s="354"/>
      <c r="AN128" s="354"/>
      <c r="AO128" s="354"/>
      <c r="AP128" s="354"/>
      <c r="AQ128" s="354"/>
      <c r="AR128" s="354"/>
      <c r="AS128" s="354"/>
      <c r="AT128" s="354"/>
      <c r="AU128" s="354"/>
      <c r="AV128" s="354"/>
      <c r="AW128" s="352"/>
      <c r="AX128" s="352"/>
      <c r="AY128" s="354"/>
      <c r="AZ128" s="354"/>
      <c r="BA128" s="354"/>
      <c r="BB128" s="354"/>
      <c r="BC128" s="354"/>
      <c r="BD128" s="354"/>
      <c r="BE128" s="354"/>
      <c r="BF128" s="354"/>
      <c r="BG128" s="354"/>
      <c r="BH128" s="354"/>
      <c r="BI128" s="354"/>
      <c r="BJ128" s="354"/>
      <c r="BK128" s="354"/>
      <c r="BL128" s="354"/>
      <c r="BM128" s="352"/>
      <c r="BN128" s="352"/>
      <c r="BO128" s="354"/>
      <c r="BP128" s="354"/>
      <c r="BQ128" s="354"/>
      <c r="BR128" s="354"/>
      <c r="BS128" s="354"/>
      <c r="BT128" s="354"/>
      <c r="BU128" s="354"/>
      <c r="BV128" s="354"/>
      <c r="BW128" s="354"/>
      <c r="BX128" s="354"/>
      <c r="BY128" s="354"/>
      <c r="BZ128" s="354"/>
      <c r="CA128" s="354"/>
    </row>
    <row r="131" spans="1:79" s="391" customFormat="1" ht="20.25" customHeight="1" x14ac:dyDescent="0.3">
      <c r="A131" s="352"/>
      <c r="B131" s="352"/>
      <c r="C131" s="354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2"/>
      <c r="R131" s="352"/>
      <c r="S131" s="354"/>
      <c r="T131" s="354"/>
      <c r="U131" s="354"/>
      <c r="V131" s="354"/>
      <c r="W131" s="354"/>
      <c r="X131" s="354"/>
      <c r="Y131" s="354"/>
      <c r="Z131" s="354"/>
      <c r="AA131" s="354"/>
      <c r="AB131" s="354"/>
      <c r="AC131" s="354"/>
      <c r="AD131" s="354"/>
      <c r="AE131" s="354"/>
      <c r="AF131" s="354"/>
      <c r="AG131" s="352"/>
      <c r="AH131" s="352"/>
      <c r="AI131" s="354"/>
      <c r="AJ131" s="354"/>
      <c r="AK131" s="354"/>
      <c r="AL131" s="354"/>
      <c r="AM131" s="354"/>
      <c r="AN131" s="354"/>
      <c r="AO131" s="354"/>
      <c r="AP131" s="354"/>
      <c r="AQ131" s="354"/>
      <c r="AR131" s="354"/>
      <c r="AS131" s="354"/>
      <c r="AT131" s="354"/>
      <c r="AU131" s="354"/>
      <c r="AV131" s="354"/>
      <c r="AW131" s="352"/>
      <c r="AX131" s="352"/>
      <c r="AY131" s="354"/>
      <c r="AZ131" s="354"/>
      <c r="BA131" s="354"/>
      <c r="BB131" s="354"/>
      <c r="BC131" s="354"/>
      <c r="BD131" s="354"/>
      <c r="BE131" s="354"/>
      <c r="BF131" s="354"/>
      <c r="BG131" s="354"/>
      <c r="BH131" s="354"/>
      <c r="BI131" s="354"/>
      <c r="BJ131" s="354"/>
      <c r="BK131" s="354"/>
      <c r="BL131" s="354"/>
      <c r="BM131" s="352"/>
      <c r="BN131" s="352"/>
      <c r="BO131" s="354"/>
      <c r="BP131" s="354"/>
      <c r="BQ131" s="354"/>
      <c r="BR131" s="354"/>
      <c r="BS131" s="354"/>
      <c r="BT131" s="354"/>
      <c r="BU131" s="354"/>
      <c r="BV131" s="354"/>
      <c r="BW131" s="354"/>
      <c r="BX131" s="354"/>
      <c r="BY131" s="354"/>
      <c r="BZ131" s="354"/>
      <c r="CA131" s="354"/>
    </row>
    <row r="132" spans="1:79" ht="16.5" customHeight="1" x14ac:dyDescent="0.3"/>
    <row r="133" spans="1:79" ht="25.5" customHeight="1" x14ac:dyDescent="0.3"/>
    <row r="134" spans="1:79" ht="29.25" customHeight="1" x14ac:dyDescent="0.3"/>
    <row r="135" spans="1:79" ht="60" customHeight="1" x14ac:dyDescent="0.3"/>
    <row r="136" spans="1:79" ht="20.25" customHeight="1" x14ac:dyDescent="0.3"/>
    <row r="137" spans="1:79" s="364" customFormat="1" ht="20.25" customHeight="1" x14ac:dyDescent="0.3">
      <c r="A137" s="352"/>
      <c r="B137" s="352"/>
      <c r="C137" s="354"/>
      <c r="D137" s="354"/>
      <c r="E137" s="354"/>
      <c r="F137" s="354"/>
      <c r="G137" s="354"/>
      <c r="H137" s="354"/>
      <c r="I137" s="354"/>
      <c r="J137" s="354"/>
      <c r="K137" s="354"/>
      <c r="L137" s="354"/>
      <c r="M137" s="354"/>
      <c r="N137" s="354"/>
      <c r="O137" s="354"/>
      <c r="P137" s="354"/>
      <c r="Q137" s="352"/>
      <c r="R137" s="352"/>
      <c r="S137" s="354"/>
      <c r="T137" s="354"/>
      <c r="U137" s="354"/>
      <c r="V137" s="354"/>
      <c r="W137" s="354"/>
      <c r="X137" s="354"/>
      <c r="Y137" s="354"/>
      <c r="Z137" s="354"/>
      <c r="AA137" s="354"/>
      <c r="AB137" s="354"/>
      <c r="AC137" s="354"/>
      <c r="AD137" s="354"/>
      <c r="AE137" s="354"/>
      <c r="AF137" s="354"/>
      <c r="AG137" s="352"/>
      <c r="AH137" s="352"/>
      <c r="AI137" s="354"/>
      <c r="AJ137" s="354"/>
      <c r="AK137" s="354"/>
      <c r="AL137" s="354"/>
      <c r="AM137" s="354"/>
      <c r="AN137" s="354"/>
      <c r="AO137" s="354"/>
      <c r="AP137" s="354"/>
      <c r="AQ137" s="354"/>
      <c r="AR137" s="354"/>
      <c r="AS137" s="354"/>
      <c r="AT137" s="354"/>
      <c r="AU137" s="354"/>
      <c r="AV137" s="354"/>
      <c r="AW137" s="352"/>
      <c r="AX137" s="352"/>
      <c r="AY137" s="354"/>
      <c r="AZ137" s="354"/>
      <c r="BA137" s="354"/>
      <c r="BB137" s="354"/>
      <c r="BC137" s="354"/>
      <c r="BD137" s="354"/>
      <c r="BE137" s="354"/>
      <c r="BF137" s="354"/>
      <c r="BG137" s="354"/>
      <c r="BH137" s="354"/>
      <c r="BI137" s="354"/>
      <c r="BJ137" s="354"/>
      <c r="BK137" s="354"/>
      <c r="BL137" s="354"/>
      <c r="BM137" s="352"/>
      <c r="BN137" s="352"/>
      <c r="BO137" s="354"/>
      <c r="BP137" s="354"/>
      <c r="BQ137" s="354"/>
      <c r="BR137" s="354"/>
      <c r="BS137" s="354"/>
      <c r="BT137" s="354"/>
      <c r="BU137" s="354"/>
      <c r="BV137" s="354"/>
      <c r="BW137" s="354"/>
      <c r="BX137" s="354"/>
      <c r="BY137" s="354"/>
      <c r="BZ137" s="354"/>
      <c r="CA137" s="354"/>
    </row>
    <row r="138" spans="1:79" s="364" customFormat="1" x14ac:dyDescent="0.3">
      <c r="A138" s="352"/>
      <c r="B138" s="352"/>
      <c r="C138" s="354"/>
      <c r="D138" s="354"/>
      <c r="E138" s="354"/>
      <c r="F138" s="354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2"/>
      <c r="R138" s="352"/>
      <c r="S138" s="354"/>
      <c r="T138" s="354"/>
      <c r="U138" s="354"/>
      <c r="V138" s="354"/>
      <c r="W138" s="354"/>
      <c r="X138" s="354"/>
      <c r="Y138" s="354"/>
      <c r="Z138" s="354"/>
      <c r="AA138" s="354"/>
      <c r="AB138" s="354"/>
      <c r="AC138" s="354"/>
      <c r="AD138" s="354"/>
      <c r="AE138" s="354"/>
      <c r="AF138" s="354"/>
      <c r="AG138" s="352"/>
      <c r="AH138" s="352"/>
      <c r="AI138" s="354"/>
      <c r="AJ138" s="354"/>
      <c r="AK138" s="354"/>
      <c r="AL138" s="354"/>
      <c r="AM138" s="354"/>
      <c r="AN138" s="354"/>
      <c r="AO138" s="354"/>
      <c r="AP138" s="354"/>
      <c r="AQ138" s="354"/>
      <c r="AR138" s="354"/>
      <c r="AS138" s="354"/>
      <c r="AT138" s="354"/>
      <c r="AU138" s="354"/>
      <c r="AV138" s="354"/>
      <c r="AW138" s="352"/>
      <c r="AX138" s="352"/>
      <c r="AY138" s="354"/>
      <c r="AZ138" s="354"/>
      <c r="BA138" s="354"/>
      <c r="BB138" s="354"/>
      <c r="BC138" s="354"/>
      <c r="BD138" s="354"/>
      <c r="BE138" s="354"/>
      <c r="BF138" s="354"/>
      <c r="BG138" s="354"/>
      <c r="BH138" s="354"/>
      <c r="BI138" s="354"/>
      <c r="BJ138" s="354"/>
      <c r="BK138" s="354"/>
      <c r="BL138" s="354"/>
      <c r="BM138" s="352"/>
      <c r="BN138" s="352"/>
      <c r="BO138" s="354"/>
      <c r="BP138" s="354"/>
      <c r="BQ138" s="354"/>
      <c r="BR138" s="354"/>
      <c r="BS138" s="354"/>
      <c r="BT138" s="354"/>
      <c r="BU138" s="354"/>
      <c r="BV138" s="354"/>
      <c r="BW138" s="354"/>
      <c r="BX138" s="354"/>
      <c r="BY138" s="354"/>
      <c r="BZ138" s="354"/>
      <c r="CA138" s="354"/>
    </row>
    <row r="139" spans="1:79" s="364" customFormat="1" x14ac:dyDescent="0.3">
      <c r="A139" s="352"/>
      <c r="B139" s="352"/>
      <c r="C139" s="354"/>
      <c r="D139" s="354"/>
      <c r="E139" s="354"/>
      <c r="F139" s="354"/>
      <c r="G139" s="354"/>
      <c r="H139" s="354"/>
      <c r="I139" s="354"/>
      <c r="J139" s="354"/>
      <c r="K139" s="354"/>
      <c r="L139" s="354"/>
      <c r="M139" s="354"/>
      <c r="N139" s="354"/>
      <c r="O139" s="354"/>
      <c r="P139" s="354"/>
      <c r="Q139" s="352"/>
      <c r="R139" s="352"/>
      <c r="S139" s="354"/>
      <c r="T139" s="354"/>
      <c r="U139" s="354"/>
      <c r="V139" s="354"/>
      <c r="W139" s="354"/>
      <c r="X139" s="354"/>
      <c r="Y139" s="354"/>
      <c r="Z139" s="354"/>
      <c r="AA139" s="354"/>
      <c r="AB139" s="354"/>
      <c r="AC139" s="354"/>
      <c r="AD139" s="354"/>
      <c r="AE139" s="354"/>
      <c r="AF139" s="354"/>
      <c r="AG139" s="352"/>
      <c r="AH139" s="352"/>
      <c r="AI139" s="354"/>
      <c r="AJ139" s="354"/>
      <c r="AK139" s="354"/>
      <c r="AL139" s="354"/>
      <c r="AM139" s="354"/>
      <c r="AN139" s="354"/>
      <c r="AO139" s="354"/>
      <c r="AP139" s="354"/>
      <c r="AQ139" s="354"/>
      <c r="AR139" s="354"/>
      <c r="AS139" s="354"/>
      <c r="AT139" s="354"/>
      <c r="AU139" s="354"/>
      <c r="AV139" s="354"/>
      <c r="AW139" s="352"/>
      <c r="AX139" s="352"/>
      <c r="AY139" s="354"/>
      <c r="AZ139" s="354"/>
      <c r="BA139" s="354"/>
      <c r="BB139" s="354"/>
      <c r="BC139" s="354"/>
      <c r="BD139" s="354"/>
      <c r="BE139" s="354"/>
      <c r="BF139" s="354"/>
      <c r="BG139" s="354"/>
      <c r="BH139" s="354"/>
      <c r="BI139" s="354"/>
      <c r="BJ139" s="354"/>
      <c r="BK139" s="354"/>
      <c r="BL139" s="354"/>
      <c r="BM139" s="352"/>
      <c r="BN139" s="352"/>
      <c r="BO139" s="354"/>
      <c r="BP139" s="354"/>
      <c r="BQ139" s="354"/>
      <c r="BR139" s="354"/>
      <c r="BS139" s="354"/>
      <c r="BT139" s="354"/>
      <c r="BU139" s="354"/>
      <c r="BV139" s="354"/>
      <c r="BW139" s="354"/>
      <c r="BX139" s="354"/>
      <c r="BY139" s="354"/>
      <c r="BZ139" s="354"/>
      <c r="CA139" s="354"/>
    </row>
    <row r="140" spans="1:79" s="364" customFormat="1" x14ac:dyDescent="0.3">
      <c r="A140" s="352"/>
      <c r="B140" s="352"/>
      <c r="C140" s="354"/>
      <c r="D140" s="354"/>
      <c r="E140" s="354"/>
      <c r="F140" s="354"/>
      <c r="G140" s="354"/>
      <c r="H140" s="354"/>
      <c r="I140" s="354"/>
      <c r="J140" s="354"/>
      <c r="K140" s="354"/>
      <c r="L140" s="354"/>
      <c r="M140" s="354"/>
      <c r="N140" s="354"/>
      <c r="O140" s="354"/>
      <c r="P140" s="354"/>
      <c r="Q140" s="352"/>
      <c r="R140" s="352"/>
      <c r="S140" s="354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4"/>
      <c r="AG140" s="352"/>
      <c r="AH140" s="352"/>
      <c r="AI140" s="354"/>
      <c r="AJ140" s="354"/>
      <c r="AK140" s="354"/>
      <c r="AL140" s="354"/>
      <c r="AM140" s="354"/>
      <c r="AN140" s="354"/>
      <c r="AO140" s="354"/>
      <c r="AP140" s="354"/>
      <c r="AQ140" s="354"/>
      <c r="AR140" s="354"/>
      <c r="AS140" s="354"/>
      <c r="AT140" s="354"/>
      <c r="AU140" s="354"/>
      <c r="AV140" s="354"/>
      <c r="AW140" s="352"/>
      <c r="AX140" s="352"/>
      <c r="AY140" s="354"/>
      <c r="AZ140" s="354"/>
      <c r="BA140" s="354"/>
      <c r="BB140" s="354"/>
      <c r="BC140" s="354"/>
      <c r="BD140" s="354"/>
      <c r="BE140" s="354"/>
      <c r="BF140" s="354"/>
      <c r="BG140" s="354"/>
      <c r="BH140" s="354"/>
      <c r="BI140" s="354"/>
      <c r="BJ140" s="354"/>
      <c r="BK140" s="354"/>
      <c r="BL140" s="354"/>
      <c r="BM140" s="352"/>
      <c r="BN140" s="352"/>
      <c r="BO140" s="354"/>
      <c r="BP140" s="354"/>
      <c r="BQ140" s="354"/>
      <c r="BR140" s="354"/>
      <c r="BS140" s="354"/>
      <c r="BT140" s="354"/>
      <c r="BU140" s="354"/>
      <c r="BV140" s="354"/>
      <c r="BW140" s="354"/>
      <c r="BX140" s="354"/>
      <c r="BY140" s="354"/>
      <c r="BZ140" s="354"/>
      <c r="CA140" s="354"/>
    </row>
    <row r="143" spans="1:79" s="391" customFormat="1" x14ac:dyDescent="0.3">
      <c r="A143" s="352"/>
      <c r="B143" s="352"/>
      <c r="C143" s="354"/>
      <c r="D143" s="354"/>
      <c r="E143" s="354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54"/>
      <c r="Q143" s="352"/>
      <c r="R143" s="352"/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354"/>
      <c r="AE143" s="354"/>
      <c r="AF143" s="354"/>
      <c r="AG143" s="352"/>
      <c r="AH143" s="352"/>
      <c r="AI143" s="354"/>
      <c r="AJ143" s="354"/>
      <c r="AK143" s="354"/>
      <c r="AL143" s="354"/>
      <c r="AM143" s="354"/>
      <c r="AN143" s="354"/>
      <c r="AO143" s="354"/>
      <c r="AP143" s="354"/>
      <c r="AQ143" s="354"/>
      <c r="AR143" s="354"/>
      <c r="AS143" s="354"/>
      <c r="AT143" s="354"/>
      <c r="AU143" s="354"/>
      <c r="AV143" s="354"/>
      <c r="AW143" s="352"/>
      <c r="AX143" s="352"/>
      <c r="AY143" s="354"/>
      <c r="AZ143" s="354"/>
      <c r="BA143" s="354"/>
      <c r="BB143" s="354"/>
      <c r="BC143" s="354"/>
      <c r="BD143" s="354"/>
      <c r="BE143" s="354"/>
      <c r="BF143" s="354"/>
      <c r="BG143" s="354"/>
      <c r="BH143" s="354"/>
      <c r="BI143" s="354"/>
      <c r="BJ143" s="354"/>
      <c r="BK143" s="354"/>
      <c r="BL143" s="354"/>
      <c r="BM143" s="352"/>
      <c r="BN143" s="352"/>
      <c r="BO143" s="354"/>
      <c r="BP143" s="354"/>
      <c r="BQ143" s="354"/>
      <c r="BR143" s="354"/>
      <c r="BS143" s="354"/>
      <c r="BT143" s="354"/>
      <c r="BU143" s="354"/>
      <c r="BV143" s="354"/>
      <c r="BW143" s="354"/>
      <c r="BX143" s="354"/>
      <c r="BY143" s="354"/>
      <c r="BZ143" s="354"/>
      <c r="CA143" s="354"/>
    </row>
    <row r="145" spans="1:79" ht="28.5" customHeight="1" x14ac:dyDescent="0.3"/>
    <row r="146" spans="1:79" ht="30.75" customHeight="1" x14ac:dyDescent="0.3"/>
    <row r="147" spans="1:79" ht="54.9" customHeight="1" x14ac:dyDescent="0.3"/>
    <row r="148" spans="1:79" ht="20.25" customHeight="1" x14ac:dyDescent="0.3"/>
    <row r="149" spans="1:79" ht="20.25" customHeight="1" x14ac:dyDescent="0.3"/>
    <row r="150" spans="1:79" s="364" customFormat="1" x14ac:dyDescent="0.3">
      <c r="A150" s="352"/>
      <c r="B150" s="352"/>
      <c r="C150" s="354"/>
      <c r="D150" s="354"/>
      <c r="E150" s="354"/>
      <c r="F150" s="354"/>
      <c r="G150" s="354"/>
      <c r="H150" s="354"/>
      <c r="I150" s="354"/>
      <c r="J150" s="354"/>
      <c r="K150" s="354"/>
      <c r="L150" s="354"/>
      <c r="M150" s="354"/>
      <c r="N150" s="354"/>
      <c r="O150" s="354"/>
      <c r="P150" s="354"/>
      <c r="Q150" s="352"/>
      <c r="R150" s="352"/>
      <c r="S150" s="354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4"/>
      <c r="AG150" s="352"/>
      <c r="AH150" s="352"/>
      <c r="AI150" s="354"/>
      <c r="AJ150" s="354"/>
      <c r="AK150" s="354"/>
      <c r="AL150" s="354"/>
      <c r="AM150" s="354"/>
      <c r="AN150" s="354"/>
      <c r="AO150" s="354"/>
      <c r="AP150" s="354"/>
      <c r="AQ150" s="354"/>
      <c r="AR150" s="354"/>
      <c r="AS150" s="354"/>
      <c r="AT150" s="354"/>
      <c r="AU150" s="354"/>
      <c r="AV150" s="354"/>
      <c r="AW150" s="352"/>
      <c r="AX150" s="352"/>
      <c r="AY150" s="354"/>
      <c r="AZ150" s="354"/>
      <c r="BA150" s="354"/>
      <c r="BB150" s="354"/>
      <c r="BC150" s="354"/>
      <c r="BD150" s="354"/>
      <c r="BE150" s="354"/>
      <c r="BF150" s="354"/>
      <c r="BG150" s="354"/>
      <c r="BH150" s="354"/>
      <c r="BI150" s="354"/>
      <c r="BJ150" s="354"/>
      <c r="BK150" s="354"/>
      <c r="BL150" s="354"/>
      <c r="BM150" s="352"/>
      <c r="BN150" s="352"/>
      <c r="BO150" s="354"/>
      <c r="BP150" s="354"/>
      <c r="BQ150" s="354"/>
      <c r="BR150" s="354"/>
      <c r="BS150" s="354"/>
      <c r="BT150" s="354"/>
      <c r="BU150" s="354"/>
      <c r="BV150" s="354"/>
      <c r="BW150" s="354"/>
      <c r="BX150" s="354"/>
      <c r="BY150" s="354"/>
      <c r="BZ150" s="354"/>
      <c r="CA150" s="354"/>
    </row>
    <row r="151" spans="1:79" s="364" customFormat="1" x14ac:dyDescent="0.3">
      <c r="A151" s="352"/>
      <c r="B151" s="352"/>
      <c r="C151" s="354"/>
      <c r="D151" s="354"/>
      <c r="E151" s="354"/>
      <c r="F151" s="354"/>
      <c r="G151" s="354"/>
      <c r="H151" s="354"/>
      <c r="I151" s="354"/>
      <c r="J151" s="354"/>
      <c r="K151" s="354"/>
      <c r="L151" s="354"/>
      <c r="M151" s="354"/>
      <c r="N151" s="354"/>
      <c r="O151" s="354"/>
      <c r="P151" s="354"/>
      <c r="Q151" s="352"/>
      <c r="R151" s="352"/>
      <c r="S151" s="354"/>
      <c r="T151" s="354"/>
      <c r="U151" s="354"/>
      <c r="V151" s="354"/>
      <c r="W151" s="354"/>
      <c r="X151" s="354"/>
      <c r="Y151" s="354"/>
      <c r="Z151" s="354"/>
      <c r="AA151" s="354"/>
      <c r="AB151" s="354"/>
      <c r="AC151" s="354"/>
      <c r="AD151" s="354"/>
      <c r="AE151" s="354"/>
      <c r="AF151" s="354"/>
      <c r="AG151" s="352"/>
      <c r="AH151" s="352"/>
      <c r="AI151" s="354"/>
      <c r="AJ151" s="354"/>
      <c r="AK151" s="354"/>
      <c r="AL151" s="354"/>
      <c r="AM151" s="354"/>
      <c r="AN151" s="354"/>
      <c r="AO151" s="354"/>
      <c r="AP151" s="354"/>
      <c r="AQ151" s="354"/>
      <c r="AR151" s="354"/>
      <c r="AS151" s="354"/>
      <c r="AT151" s="354"/>
      <c r="AU151" s="354"/>
      <c r="AV151" s="354"/>
      <c r="AW151" s="352"/>
      <c r="AX151" s="352"/>
      <c r="AY151" s="354"/>
      <c r="AZ151" s="354"/>
      <c r="BA151" s="354"/>
      <c r="BB151" s="354"/>
      <c r="BC151" s="354"/>
      <c r="BD151" s="354"/>
      <c r="BE151" s="354"/>
      <c r="BF151" s="354"/>
      <c r="BG151" s="354"/>
      <c r="BH151" s="354"/>
      <c r="BI151" s="354"/>
      <c r="BJ151" s="354"/>
      <c r="BK151" s="354"/>
      <c r="BL151" s="354"/>
      <c r="BM151" s="352"/>
      <c r="BN151" s="352"/>
      <c r="BO151" s="354"/>
      <c r="BP151" s="354"/>
      <c r="BQ151" s="354"/>
      <c r="BR151" s="354"/>
      <c r="BS151" s="354"/>
      <c r="BT151" s="354"/>
      <c r="BU151" s="354"/>
      <c r="BV151" s="354"/>
      <c r="BW151" s="354"/>
      <c r="BX151" s="354"/>
      <c r="BY151" s="354"/>
      <c r="BZ151" s="354"/>
      <c r="CA151" s="354"/>
    </row>
    <row r="152" spans="1:79" s="364" customFormat="1" x14ac:dyDescent="0.3">
      <c r="A152" s="352"/>
      <c r="B152" s="352"/>
      <c r="C152" s="354"/>
      <c r="D152" s="354"/>
      <c r="E152" s="354"/>
      <c r="F152" s="354"/>
      <c r="G152" s="354"/>
      <c r="H152" s="354"/>
      <c r="I152" s="354"/>
      <c r="J152" s="354"/>
      <c r="K152" s="354"/>
      <c r="L152" s="354"/>
      <c r="M152" s="354"/>
      <c r="N152" s="354"/>
      <c r="O152" s="354"/>
      <c r="P152" s="354"/>
      <c r="Q152" s="352"/>
      <c r="R152" s="352"/>
      <c r="S152" s="354"/>
      <c r="T152" s="354"/>
      <c r="U152" s="354"/>
      <c r="V152" s="354"/>
      <c r="W152" s="354"/>
      <c r="X152" s="354"/>
      <c r="Y152" s="354"/>
      <c r="Z152" s="354"/>
      <c r="AA152" s="354"/>
      <c r="AB152" s="354"/>
      <c r="AC152" s="354"/>
      <c r="AD152" s="354"/>
      <c r="AE152" s="354"/>
      <c r="AF152" s="354"/>
      <c r="AG152" s="352"/>
      <c r="AH152" s="352"/>
      <c r="AI152" s="354"/>
      <c r="AJ152" s="354"/>
      <c r="AK152" s="354"/>
      <c r="AL152" s="354"/>
      <c r="AM152" s="354"/>
      <c r="AN152" s="354"/>
      <c r="AO152" s="354"/>
      <c r="AP152" s="354"/>
      <c r="AQ152" s="354"/>
      <c r="AR152" s="354"/>
      <c r="AS152" s="354"/>
      <c r="AT152" s="354"/>
      <c r="AU152" s="354"/>
      <c r="AV152" s="354"/>
      <c r="AW152" s="352"/>
      <c r="AX152" s="352"/>
      <c r="AY152" s="354"/>
      <c r="AZ152" s="354"/>
      <c r="BA152" s="354"/>
      <c r="BB152" s="354"/>
      <c r="BC152" s="354"/>
      <c r="BD152" s="354"/>
      <c r="BE152" s="354"/>
      <c r="BF152" s="354"/>
      <c r="BG152" s="354"/>
      <c r="BH152" s="354"/>
      <c r="BI152" s="354"/>
      <c r="BJ152" s="354"/>
      <c r="BK152" s="354"/>
      <c r="BL152" s="354"/>
      <c r="BM152" s="352"/>
      <c r="BN152" s="352"/>
      <c r="BO152" s="354"/>
      <c r="BP152" s="354"/>
      <c r="BQ152" s="354"/>
      <c r="BR152" s="354"/>
      <c r="BS152" s="354"/>
      <c r="BT152" s="354"/>
      <c r="BU152" s="354"/>
      <c r="BV152" s="354"/>
      <c r="BW152" s="354"/>
      <c r="BX152" s="354"/>
      <c r="BY152" s="354"/>
      <c r="BZ152" s="354"/>
      <c r="CA152" s="354"/>
    </row>
    <row r="155" spans="1:79" s="391" customFormat="1" x14ac:dyDescent="0.3">
      <c r="A155" s="352"/>
      <c r="B155" s="352"/>
      <c r="C155" s="354"/>
      <c r="D155" s="354"/>
      <c r="E155" s="354"/>
      <c r="F155" s="354"/>
      <c r="G155" s="354"/>
      <c r="H155" s="354"/>
      <c r="I155" s="354"/>
      <c r="J155" s="354"/>
      <c r="K155" s="354"/>
      <c r="L155" s="354"/>
      <c r="M155" s="354"/>
      <c r="N155" s="354"/>
      <c r="O155" s="354"/>
      <c r="P155" s="354"/>
      <c r="Q155" s="352"/>
      <c r="R155" s="352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2"/>
      <c r="AH155" s="352"/>
      <c r="AI155" s="354"/>
      <c r="AJ155" s="354"/>
      <c r="AK155" s="354"/>
      <c r="AL155" s="354"/>
      <c r="AM155" s="354"/>
      <c r="AN155" s="354"/>
      <c r="AO155" s="354"/>
      <c r="AP155" s="354"/>
      <c r="AQ155" s="354"/>
      <c r="AR155" s="354"/>
      <c r="AS155" s="354"/>
      <c r="AT155" s="354"/>
      <c r="AU155" s="354"/>
      <c r="AV155" s="354"/>
      <c r="AW155" s="352"/>
      <c r="AX155" s="352"/>
      <c r="AY155" s="354"/>
      <c r="AZ155" s="354"/>
      <c r="BA155" s="354"/>
      <c r="BB155" s="354"/>
      <c r="BC155" s="354"/>
      <c r="BD155" s="354"/>
      <c r="BE155" s="354"/>
      <c r="BF155" s="354"/>
      <c r="BG155" s="354"/>
      <c r="BH155" s="354"/>
      <c r="BI155" s="354"/>
      <c r="BJ155" s="354"/>
      <c r="BK155" s="354"/>
      <c r="BL155" s="354"/>
      <c r="BM155" s="352"/>
      <c r="BN155" s="352"/>
      <c r="BO155" s="354"/>
      <c r="BP155" s="354"/>
      <c r="BQ155" s="354"/>
      <c r="BR155" s="354"/>
      <c r="BS155" s="354"/>
      <c r="BT155" s="354"/>
      <c r="BU155" s="354"/>
      <c r="BV155" s="354"/>
      <c r="BW155" s="354"/>
      <c r="BX155" s="354"/>
      <c r="BY155" s="354"/>
      <c r="BZ155" s="354"/>
      <c r="CA155" s="354"/>
    </row>
    <row r="158" spans="1:79" ht="31.65" customHeight="1" x14ac:dyDescent="0.3"/>
    <row r="159" spans="1:79" ht="54.9" customHeight="1" x14ac:dyDescent="0.3"/>
    <row r="160" spans="1:79" ht="20.25" customHeight="1" x14ac:dyDescent="0.3"/>
    <row r="161" spans="1:79" ht="20.25" customHeight="1" x14ac:dyDescent="0.3"/>
    <row r="162" spans="1:79" s="364" customFormat="1" x14ac:dyDescent="0.3">
      <c r="A162" s="352"/>
      <c r="B162" s="352"/>
      <c r="C162" s="354"/>
      <c r="D162" s="354"/>
      <c r="E162" s="354"/>
      <c r="F162" s="354"/>
      <c r="G162" s="354"/>
      <c r="H162" s="354"/>
      <c r="I162" s="354"/>
      <c r="J162" s="354"/>
      <c r="K162" s="354"/>
      <c r="L162" s="354"/>
      <c r="M162" s="354"/>
      <c r="N162" s="354"/>
      <c r="O162" s="354"/>
      <c r="P162" s="354"/>
      <c r="Q162" s="352"/>
      <c r="R162" s="352"/>
      <c r="S162" s="354"/>
      <c r="T162" s="354"/>
      <c r="U162" s="354"/>
      <c r="V162" s="354"/>
      <c r="W162" s="354"/>
      <c r="X162" s="354"/>
      <c r="Y162" s="354"/>
      <c r="Z162" s="354"/>
      <c r="AA162" s="354"/>
      <c r="AB162" s="354"/>
      <c r="AC162" s="354"/>
      <c r="AD162" s="354"/>
      <c r="AE162" s="354"/>
      <c r="AF162" s="354"/>
      <c r="AG162" s="352"/>
      <c r="AH162" s="352"/>
      <c r="AI162" s="354"/>
      <c r="AJ162" s="354"/>
      <c r="AK162" s="354"/>
      <c r="AL162" s="354"/>
      <c r="AM162" s="354"/>
      <c r="AN162" s="354"/>
      <c r="AO162" s="354"/>
      <c r="AP162" s="354"/>
      <c r="AQ162" s="354"/>
      <c r="AR162" s="354"/>
      <c r="AS162" s="354"/>
      <c r="AT162" s="354"/>
      <c r="AU162" s="354"/>
      <c r="AV162" s="354"/>
      <c r="AW162" s="352"/>
      <c r="AX162" s="352"/>
      <c r="AY162" s="354"/>
      <c r="AZ162" s="354"/>
      <c r="BA162" s="354"/>
      <c r="BB162" s="354"/>
      <c r="BC162" s="354"/>
      <c r="BD162" s="354"/>
      <c r="BE162" s="354"/>
      <c r="BF162" s="354"/>
      <c r="BG162" s="354"/>
      <c r="BH162" s="354"/>
      <c r="BI162" s="354"/>
      <c r="BJ162" s="354"/>
      <c r="BK162" s="354"/>
      <c r="BL162" s="354"/>
      <c r="BM162" s="352"/>
      <c r="BN162" s="352"/>
      <c r="BO162" s="354"/>
      <c r="BP162" s="354"/>
      <c r="BQ162" s="354"/>
      <c r="BR162" s="354"/>
      <c r="BS162" s="354"/>
      <c r="BT162" s="354"/>
      <c r="BU162" s="354"/>
      <c r="BV162" s="354"/>
      <c r="BW162" s="354"/>
      <c r="BX162" s="354"/>
      <c r="BY162" s="354"/>
      <c r="BZ162" s="354"/>
      <c r="CA162" s="354"/>
    </row>
    <row r="164" spans="1:79" s="364" customFormat="1" x14ac:dyDescent="0.3">
      <c r="A164" s="352"/>
      <c r="B164" s="352"/>
      <c r="C164" s="354"/>
      <c r="D164" s="354"/>
      <c r="E164" s="354"/>
      <c r="F164" s="354"/>
      <c r="G164" s="354"/>
      <c r="H164" s="354"/>
      <c r="I164" s="354"/>
      <c r="J164" s="354"/>
      <c r="K164" s="354"/>
      <c r="L164" s="354"/>
      <c r="M164" s="354"/>
      <c r="N164" s="354"/>
      <c r="O164" s="354"/>
      <c r="P164" s="354"/>
      <c r="Q164" s="352"/>
      <c r="R164" s="352"/>
      <c r="S164" s="354"/>
      <c r="T164" s="354"/>
      <c r="U164" s="354"/>
      <c r="V164" s="354"/>
      <c r="W164" s="354"/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2"/>
      <c r="AH164" s="352"/>
      <c r="AI164" s="354"/>
      <c r="AJ164" s="354"/>
      <c r="AK164" s="354"/>
      <c r="AL164" s="354"/>
      <c r="AM164" s="354"/>
      <c r="AN164" s="354"/>
      <c r="AO164" s="354"/>
      <c r="AP164" s="354"/>
      <c r="AQ164" s="354"/>
      <c r="AR164" s="354"/>
      <c r="AS164" s="354"/>
      <c r="AT164" s="354"/>
      <c r="AU164" s="354"/>
      <c r="AV164" s="354"/>
      <c r="AW164" s="352"/>
      <c r="AX164" s="352"/>
      <c r="AY164" s="354"/>
      <c r="AZ164" s="354"/>
      <c r="BA164" s="354"/>
      <c r="BB164" s="354"/>
      <c r="BC164" s="354"/>
      <c r="BD164" s="354"/>
      <c r="BE164" s="354"/>
      <c r="BF164" s="354"/>
      <c r="BG164" s="354"/>
      <c r="BH164" s="354"/>
      <c r="BI164" s="354"/>
      <c r="BJ164" s="354"/>
      <c r="BK164" s="354"/>
      <c r="BL164" s="354"/>
      <c r="BM164" s="352"/>
      <c r="BN164" s="352"/>
      <c r="BO164" s="354"/>
      <c r="BP164" s="354"/>
      <c r="BQ164" s="354"/>
      <c r="BR164" s="354"/>
      <c r="BS164" s="354"/>
      <c r="BT164" s="354"/>
      <c r="BU164" s="354"/>
      <c r="BV164" s="354"/>
      <c r="BW164" s="354"/>
      <c r="BX164" s="354"/>
      <c r="BY164" s="354"/>
      <c r="BZ164" s="354"/>
      <c r="CA164" s="354"/>
    </row>
    <row r="167" spans="1:79" s="391" customFormat="1" x14ac:dyDescent="0.3">
      <c r="A167" s="352"/>
      <c r="B167" s="352"/>
      <c r="C167" s="354"/>
      <c r="D167" s="354"/>
      <c r="E167" s="354"/>
      <c r="F167" s="354"/>
      <c r="G167" s="354"/>
      <c r="H167" s="354"/>
      <c r="I167" s="354"/>
      <c r="J167" s="354"/>
      <c r="K167" s="354"/>
      <c r="L167" s="354"/>
      <c r="M167" s="354"/>
      <c r="N167" s="354"/>
      <c r="O167" s="354"/>
      <c r="P167" s="354"/>
      <c r="Q167" s="352"/>
      <c r="R167" s="352"/>
      <c r="S167" s="354"/>
      <c r="T167" s="354"/>
      <c r="U167" s="354"/>
      <c r="V167" s="354"/>
      <c r="W167" s="354"/>
      <c r="X167" s="354"/>
      <c r="Y167" s="354"/>
      <c r="Z167" s="354"/>
      <c r="AA167" s="354"/>
      <c r="AB167" s="354"/>
      <c r="AC167" s="354"/>
      <c r="AD167" s="354"/>
      <c r="AE167" s="354"/>
      <c r="AF167" s="354"/>
      <c r="AG167" s="352"/>
      <c r="AH167" s="352"/>
      <c r="AI167" s="354"/>
      <c r="AJ167" s="354"/>
      <c r="AK167" s="354"/>
      <c r="AL167" s="354"/>
      <c r="AM167" s="354"/>
      <c r="AN167" s="354"/>
      <c r="AO167" s="354"/>
      <c r="AP167" s="354"/>
      <c r="AQ167" s="354"/>
      <c r="AR167" s="354"/>
      <c r="AS167" s="354"/>
      <c r="AT167" s="354"/>
      <c r="AU167" s="354"/>
      <c r="AV167" s="354"/>
      <c r="AW167" s="352"/>
      <c r="AX167" s="352"/>
      <c r="AY167" s="354"/>
      <c r="AZ167" s="354"/>
      <c r="BA167" s="354"/>
      <c r="BB167" s="354"/>
      <c r="BC167" s="354"/>
      <c r="BD167" s="354"/>
      <c r="BE167" s="354"/>
      <c r="BF167" s="354"/>
      <c r="BG167" s="354"/>
      <c r="BH167" s="354"/>
      <c r="BI167" s="354"/>
      <c r="BJ167" s="354"/>
      <c r="BK167" s="354"/>
      <c r="BL167" s="354"/>
      <c r="BM167" s="352"/>
      <c r="BN167" s="352"/>
      <c r="BO167" s="354"/>
      <c r="BP167" s="354"/>
      <c r="BQ167" s="354"/>
      <c r="BR167" s="354"/>
      <c r="BS167" s="354"/>
      <c r="BT167" s="354"/>
      <c r="BU167" s="354"/>
      <c r="BV167" s="354"/>
      <c r="BW167" s="354"/>
      <c r="BX167" s="354"/>
      <c r="BY167" s="354"/>
      <c r="BZ167" s="354"/>
      <c r="CA167" s="354"/>
    </row>
    <row r="171" spans="1:79" ht="54.9" customHeight="1" x14ac:dyDescent="0.3"/>
    <row r="172" spans="1:79" ht="20.25" customHeight="1" x14ac:dyDescent="0.3"/>
    <row r="173" spans="1:79" ht="20.25" customHeight="1" x14ac:dyDescent="0.3"/>
    <row r="174" spans="1:79" s="364" customFormat="1" x14ac:dyDescent="0.3">
      <c r="A174" s="352"/>
      <c r="B174" s="352"/>
      <c r="C174" s="354"/>
      <c r="D174" s="354"/>
      <c r="E174" s="354"/>
      <c r="F174" s="354"/>
      <c r="G174" s="354"/>
      <c r="H174" s="354"/>
      <c r="I174" s="354"/>
      <c r="J174" s="354"/>
      <c r="K174" s="354"/>
      <c r="L174" s="354"/>
      <c r="M174" s="354"/>
      <c r="N174" s="354"/>
      <c r="O174" s="354"/>
      <c r="P174" s="354"/>
      <c r="Q174" s="352"/>
      <c r="R174" s="352"/>
      <c r="S174" s="354"/>
      <c r="T174" s="354"/>
      <c r="U174" s="354"/>
      <c r="V174" s="354"/>
      <c r="W174" s="354"/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2"/>
      <c r="AH174" s="352"/>
      <c r="AI174" s="354"/>
      <c r="AJ174" s="354"/>
      <c r="AK174" s="354"/>
      <c r="AL174" s="354"/>
      <c r="AM174" s="354"/>
      <c r="AN174" s="354"/>
      <c r="AO174" s="354"/>
      <c r="AP174" s="354"/>
      <c r="AQ174" s="354"/>
      <c r="AR174" s="354"/>
      <c r="AS174" s="354"/>
      <c r="AT174" s="354"/>
      <c r="AU174" s="354"/>
      <c r="AV174" s="354"/>
      <c r="AW174" s="352"/>
      <c r="AX174" s="352"/>
      <c r="AY174" s="354"/>
      <c r="AZ174" s="354"/>
      <c r="BA174" s="354"/>
      <c r="BB174" s="354"/>
      <c r="BC174" s="354"/>
      <c r="BD174" s="354"/>
      <c r="BE174" s="354"/>
      <c r="BF174" s="354"/>
      <c r="BG174" s="354"/>
      <c r="BH174" s="354"/>
      <c r="BI174" s="354"/>
      <c r="BJ174" s="354"/>
      <c r="BK174" s="354"/>
      <c r="BL174" s="354"/>
      <c r="BM174" s="352"/>
      <c r="BN174" s="352"/>
      <c r="BO174" s="354"/>
      <c r="BP174" s="354"/>
      <c r="BQ174" s="354"/>
      <c r="BR174" s="354"/>
      <c r="BS174" s="354"/>
      <c r="BT174" s="354"/>
      <c r="BU174" s="354"/>
      <c r="BV174" s="354"/>
      <c r="BW174" s="354"/>
      <c r="BX174" s="354"/>
      <c r="BY174" s="354"/>
      <c r="BZ174" s="354"/>
      <c r="CA174" s="354"/>
    </row>
    <row r="175" spans="1:79" s="364" customFormat="1" x14ac:dyDescent="0.3">
      <c r="A175" s="352"/>
      <c r="B175" s="352"/>
      <c r="C175" s="354"/>
      <c r="D175" s="354"/>
      <c r="E175" s="354"/>
      <c r="F175" s="354"/>
      <c r="G175" s="354"/>
      <c r="H175" s="354"/>
      <c r="I175" s="354"/>
      <c r="J175" s="354"/>
      <c r="K175" s="354"/>
      <c r="L175" s="354"/>
      <c r="M175" s="354"/>
      <c r="N175" s="354"/>
      <c r="O175" s="354"/>
      <c r="P175" s="354"/>
      <c r="Q175" s="352"/>
      <c r="R175" s="352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2"/>
      <c r="AH175" s="352"/>
      <c r="AI175" s="354"/>
      <c r="AJ175" s="354"/>
      <c r="AK175" s="354"/>
      <c r="AL175" s="354"/>
      <c r="AM175" s="354"/>
      <c r="AN175" s="354"/>
      <c r="AO175" s="354"/>
      <c r="AP175" s="354"/>
      <c r="AQ175" s="354"/>
      <c r="AR175" s="354"/>
      <c r="AS175" s="354"/>
      <c r="AT175" s="354"/>
      <c r="AU175" s="354"/>
      <c r="AV175" s="354"/>
      <c r="AW175" s="352"/>
      <c r="AX175" s="352"/>
      <c r="AY175" s="354"/>
      <c r="AZ175" s="354"/>
      <c r="BA175" s="354"/>
      <c r="BB175" s="354"/>
      <c r="BC175" s="354"/>
      <c r="BD175" s="354"/>
      <c r="BE175" s="354"/>
      <c r="BF175" s="354"/>
      <c r="BG175" s="354"/>
      <c r="BH175" s="354"/>
      <c r="BI175" s="354"/>
      <c r="BJ175" s="354"/>
      <c r="BK175" s="354"/>
      <c r="BL175" s="354"/>
      <c r="BM175" s="352"/>
      <c r="BN175" s="352"/>
      <c r="BO175" s="354"/>
      <c r="BP175" s="354"/>
      <c r="BQ175" s="354"/>
      <c r="BR175" s="354"/>
      <c r="BS175" s="354"/>
      <c r="BT175" s="354"/>
      <c r="BU175" s="354"/>
      <c r="BV175" s="354"/>
      <c r="BW175" s="354"/>
      <c r="BX175" s="354"/>
      <c r="BY175" s="354"/>
      <c r="BZ175" s="354"/>
      <c r="CA175" s="354"/>
    </row>
    <row r="176" spans="1:79" s="364" customFormat="1" x14ac:dyDescent="0.3">
      <c r="A176" s="352"/>
      <c r="B176" s="352"/>
      <c r="C176" s="354"/>
      <c r="D176" s="354"/>
      <c r="E176" s="354"/>
      <c r="F176" s="354"/>
      <c r="G176" s="354"/>
      <c r="H176" s="354"/>
      <c r="I176" s="354"/>
      <c r="J176" s="354"/>
      <c r="K176" s="354"/>
      <c r="L176" s="354"/>
      <c r="M176" s="354"/>
      <c r="N176" s="354"/>
      <c r="O176" s="354"/>
      <c r="P176" s="354"/>
      <c r="Q176" s="352"/>
      <c r="R176" s="352"/>
      <c r="S176" s="354"/>
      <c r="T176" s="354"/>
      <c r="U176" s="354"/>
      <c r="V176" s="354"/>
      <c r="W176" s="354"/>
      <c r="X176" s="354"/>
      <c r="Y176" s="354"/>
      <c r="Z176" s="354"/>
      <c r="AA176" s="354"/>
      <c r="AB176" s="354"/>
      <c r="AC176" s="354"/>
      <c r="AD176" s="354"/>
      <c r="AE176" s="354"/>
      <c r="AF176" s="354"/>
      <c r="AG176" s="352"/>
      <c r="AH176" s="352"/>
      <c r="AI176" s="354"/>
      <c r="AJ176" s="354"/>
      <c r="AK176" s="354"/>
      <c r="AL176" s="354"/>
      <c r="AM176" s="354"/>
      <c r="AN176" s="354"/>
      <c r="AO176" s="354"/>
      <c r="AP176" s="354"/>
      <c r="AQ176" s="354"/>
      <c r="AR176" s="354"/>
      <c r="AS176" s="354"/>
      <c r="AT176" s="354"/>
      <c r="AU176" s="354"/>
      <c r="AV176" s="354"/>
      <c r="AW176" s="352"/>
      <c r="AX176" s="352"/>
      <c r="AY176" s="354"/>
      <c r="AZ176" s="354"/>
      <c r="BA176" s="354"/>
      <c r="BB176" s="354"/>
      <c r="BC176" s="354"/>
      <c r="BD176" s="354"/>
      <c r="BE176" s="354"/>
      <c r="BF176" s="354"/>
      <c r="BG176" s="354"/>
      <c r="BH176" s="354"/>
      <c r="BI176" s="354"/>
      <c r="BJ176" s="354"/>
      <c r="BK176" s="354"/>
      <c r="BL176" s="354"/>
      <c r="BM176" s="352"/>
      <c r="BN176" s="352"/>
      <c r="BO176" s="354"/>
      <c r="BP176" s="354"/>
      <c r="BQ176" s="354"/>
      <c r="BR176" s="354"/>
      <c r="BS176" s="354"/>
      <c r="BT176" s="354"/>
      <c r="BU176" s="354"/>
      <c r="BV176" s="354"/>
      <c r="BW176" s="354"/>
      <c r="BX176" s="354"/>
      <c r="BY176" s="354"/>
      <c r="BZ176" s="354"/>
      <c r="CA176" s="354"/>
    </row>
    <row r="179" spans="1:79" s="391" customFormat="1" x14ac:dyDescent="0.3">
      <c r="A179" s="352"/>
      <c r="B179" s="352"/>
      <c r="C179" s="354"/>
      <c r="D179" s="354"/>
      <c r="E179" s="354"/>
      <c r="F179" s="354"/>
      <c r="G179" s="354"/>
      <c r="H179" s="354"/>
      <c r="I179" s="354"/>
      <c r="J179" s="354"/>
      <c r="K179" s="354"/>
      <c r="L179" s="354"/>
      <c r="M179" s="354"/>
      <c r="N179" s="354"/>
      <c r="O179" s="354"/>
      <c r="P179" s="354"/>
      <c r="Q179" s="352"/>
      <c r="R179" s="352"/>
      <c r="S179" s="354"/>
      <c r="T179" s="354"/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2"/>
      <c r="AH179" s="352"/>
      <c r="AI179" s="354"/>
      <c r="AJ179" s="354"/>
      <c r="AK179" s="354"/>
      <c r="AL179" s="354"/>
      <c r="AM179" s="354"/>
      <c r="AN179" s="354"/>
      <c r="AO179" s="354"/>
      <c r="AP179" s="354"/>
      <c r="AQ179" s="354"/>
      <c r="AR179" s="354"/>
      <c r="AS179" s="354"/>
      <c r="AT179" s="354"/>
      <c r="AU179" s="354"/>
      <c r="AV179" s="354"/>
      <c r="AW179" s="352"/>
      <c r="AX179" s="352"/>
      <c r="AY179" s="354"/>
      <c r="AZ179" s="354"/>
      <c r="BA179" s="354"/>
      <c r="BB179" s="354"/>
      <c r="BC179" s="354"/>
      <c r="BD179" s="354"/>
      <c r="BE179" s="354"/>
      <c r="BF179" s="354"/>
      <c r="BG179" s="354"/>
      <c r="BH179" s="354"/>
      <c r="BI179" s="354"/>
      <c r="BJ179" s="354"/>
      <c r="BK179" s="354"/>
      <c r="BL179" s="354"/>
      <c r="BM179" s="352"/>
      <c r="BN179" s="352"/>
      <c r="BO179" s="354"/>
      <c r="BP179" s="354"/>
      <c r="BQ179" s="354"/>
      <c r="BR179" s="354"/>
      <c r="BS179" s="354"/>
      <c r="BT179" s="354"/>
      <c r="BU179" s="354"/>
      <c r="BV179" s="354"/>
      <c r="BW179" s="354"/>
      <c r="BX179" s="354"/>
      <c r="BY179" s="354"/>
      <c r="BZ179" s="354"/>
      <c r="CA179" s="354"/>
    </row>
    <row r="183" spans="1:79" ht="18" customHeight="1" x14ac:dyDescent="0.3"/>
    <row r="184" spans="1:79" ht="20.25" customHeight="1" x14ac:dyDescent="0.3"/>
    <row r="185" spans="1:79" s="364" customFormat="1" ht="20.25" customHeight="1" x14ac:dyDescent="0.3">
      <c r="A185" s="352"/>
      <c r="B185" s="352"/>
      <c r="C185" s="354"/>
      <c r="D185" s="354"/>
      <c r="E185" s="354"/>
      <c r="F185" s="354"/>
      <c r="G185" s="354"/>
      <c r="H185" s="354"/>
      <c r="I185" s="354"/>
      <c r="J185" s="354"/>
      <c r="K185" s="354"/>
      <c r="L185" s="354"/>
      <c r="M185" s="354"/>
      <c r="N185" s="354"/>
      <c r="O185" s="354"/>
      <c r="P185" s="354"/>
      <c r="Q185" s="352"/>
      <c r="R185" s="352"/>
      <c r="S185" s="354"/>
      <c r="T185" s="354"/>
      <c r="U185" s="354"/>
      <c r="V185" s="354"/>
      <c r="W185" s="354"/>
      <c r="X185" s="354"/>
      <c r="Y185" s="354"/>
      <c r="Z185" s="354"/>
      <c r="AA185" s="354"/>
      <c r="AB185" s="354"/>
      <c r="AC185" s="354"/>
      <c r="AD185" s="354"/>
      <c r="AE185" s="354"/>
      <c r="AF185" s="354"/>
      <c r="AG185" s="352"/>
      <c r="AH185" s="352"/>
      <c r="AI185" s="354"/>
      <c r="AJ185" s="354"/>
      <c r="AK185" s="354"/>
      <c r="AL185" s="354"/>
      <c r="AM185" s="354"/>
      <c r="AN185" s="354"/>
      <c r="AO185" s="354"/>
      <c r="AP185" s="354"/>
      <c r="AQ185" s="354"/>
      <c r="AR185" s="354"/>
      <c r="AS185" s="354"/>
      <c r="AT185" s="354"/>
      <c r="AU185" s="354"/>
      <c r="AV185" s="354"/>
      <c r="AW185" s="352"/>
      <c r="AX185" s="352"/>
      <c r="AY185" s="354"/>
      <c r="AZ185" s="354"/>
      <c r="BA185" s="354"/>
      <c r="BB185" s="354"/>
      <c r="BC185" s="354"/>
      <c r="BD185" s="354"/>
      <c r="BE185" s="354"/>
      <c r="BF185" s="354"/>
      <c r="BG185" s="354"/>
      <c r="BH185" s="354"/>
      <c r="BI185" s="354"/>
      <c r="BJ185" s="354"/>
      <c r="BK185" s="354"/>
      <c r="BL185" s="354"/>
      <c r="BM185" s="352"/>
      <c r="BN185" s="352"/>
      <c r="BO185" s="354"/>
      <c r="BP185" s="354"/>
      <c r="BQ185" s="354"/>
      <c r="BR185" s="354"/>
      <c r="BS185" s="354"/>
      <c r="BT185" s="354"/>
      <c r="BU185" s="354"/>
      <c r="BV185" s="354"/>
      <c r="BW185" s="354"/>
      <c r="BX185" s="354"/>
      <c r="BY185" s="354"/>
      <c r="BZ185" s="354"/>
      <c r="CA185" s="354"/>
    </row>
    <row r="186" spans="1:79" s="364" customFormat="1" x14ac:dyDescent="0.3">
      <c r="A186" s="352"/>
      <c r="B186" s="352"/>
      <c r="C186" s="354"/>
      <c r="D186" s="354"/>
      <c r="E186" s="354"/>
      <c r="F186" s="354"/>
      <c r="G186" s="354"/>
      <c r="H186" s="354"/>
      <c r="I186" s="354"/>
      <c r="J186" s="354"/>
      <c r="K186" s="354"/>
      <c r="L186" s="354"/>
      <c r="M186" s="354"/>
      <c r="N186" s="354"/>
      <c r="O186" s="354"/>
      <c r="P186" s="354"/>
      <c r="Q186" s="352"/>
      <c r="R186" s="352"/>
      <c r="S186" s="354"/>
      <c r="T186" s="354"/>
      <c r="U186" s="354"/>
      <c r="V186" s="354"/>
      <c r="W186" s="354"/>
      <c r="X186" s="354"/>
      <c r="Y186" s="354"/>
      <c r="Z186" s="354"/>
      <c r="AA186" s="354"/>
      <c r="AB186" s="354"/>
      <c r="AC186" s="354"/>
      <c r="AD186" s="354"/>
      <c r="AE186" s="354"/>
      <c r="AF186" s="354"/>
      <c r="AG186" s="352"/>
      <c r="AH186" s="352"/>
      <c r="AI186" s="354"/>
      <c r="AJ186" s="354"/>
      <c r="AK186" s="354"/>
      <c r="AL186" s="354"/>
      <c r="AM186" s="354"/>
      <c r="AN186" s="354"/>
      <c r="AO186" s="354"/>
      <c r="AP186" s="354"/>
      <c r="AQ186" s="354"/>
      <c r="AR186" s="354"/>
      <c r="AS186" s="354"/>
      <c r="AT186" s="354"/>
      <c r="AU186" s="354"/>
      <c r="AV186" s="354"/>
      <c r="AW186" s="352"/>
      <c r="AX186" s="352"/>
      <c r="AY186" s="354"/>
      <c r="AZ186" s="354"/>
      <c r="BA186" s="354"/>
      <c r="BB186" s="354"/>
      <c r="BC186" s="354"/>
      <c r="BD186" s="354"/>
      <c r="BE186" s="354"/>
      <c r="BF186" s="354"/>
      <c r="BG186" s="354"/>
      <c r="BH186" s="354"/>
      <c r="BI186" s="354"/>
      <c r="BJ186" s="354"/>
      <c r="BK186" s="354"/>
      <c r="BL186" s="354"/>
      <c r="BM186" s="352"/>
      <c r="BN186" s="352"/>
      <c r="BO186" s="354"/>
      <c r="BP186" s="354"/>
      <c r="BQ186" s="354"/>
      <c r="BR186" s="354"/>
      <c r="BS186" s="354"/>
      <c r="BT186" s="354"/>
      <c r="BU186" s="354"/>
      <c r="BV186" s="354"/>
      <c r="BW186" s="354"/>
      <c r="BX186" s="354"/>
      <c r="BY186" s="354"/>
      <c r="BZ186" s="354"/>
      <c r="CA186" s="354"/>
    </row>
    <row r="187" spans="1:79" s="364" customFormat="1" x14ac:dyDescent="0.3">
      <c r="A187" s="352"/>
      <c r="B187" s="352"/>
      <c r="C187" s="354"/>
      <c r="D187" s="354"/>
      <c r="E187" s="354"/>
      <c r="F187" s="354"/>
      <c r="G187" s="354"/>
      <c r="H187" s="354"/>
      <c r="I187" s="354"/>
      <c r="J187" s="354"/>
      <c r="K187" s="354"/>
      <c r="L187" s="354"/>
      <c r="M187" s="354"/>
      <c r="N187" s="354"/>
      <c r="O187" s="354"/>
      <c r="P187" s="354"/>
      <c r="Q187" s="352"/>
      <c r="R187" s="352"/>
      <c r="S187" s="354"/>
      <c r="T187" s="354"/>
      <c r="U187" s="354"/>
      <c r="V187" s="354"/>
      <c r="W187" s="354"/>
      <c r="X187" s="354"/>
      <c r="Y187" s="354"/>
      <c r="Z187" s="354"/>
      <c r="AA187" s="354"/>
      <c r="AB187" s="354"/>
      <c r="AC187" s="354"/>
      <c r="AD187" s="354"/>
      <c r="AE187" s="354"/>
      <c r="AF187" s="354"/>
      <c r="AG187" s="352"/>
      <c r="AH187" s="352"/>
      <c r="AI187" s="354"/>
      <c r="AJ187" s="354"/>
      <c r="AK187" s="354"/>
      <c r="AL187" s="354"/>
      <c r="AM187" s="354"/>
      <c r="AN187" s="354"/>
      <c r="AO187" s="354"/>
      <c r="AP187" s="354"/>
      <c r="AQ187" s="354"/>
      <c r="AR187" s="354"/>
      <c r="AS187" s="354"/>
      <c r="AT187" s="354"/>
      <c r="AU187" s="354"/>
      <c r="AV187" s="354"/>
      <c r="AW187" s="352"/>
      <c r="AX187" s="352"/>
      <c r="AY187" s="354"/>
      <c r="AZ187" s="354"/>
      <c r="BA187" s="354"/>
      <c r="BB187" s="354"/>
      <c r="BC187" s="354"/>
      <c r="BD187" s="354"/>
      <c r="BE187" s="354"/>
      <c r="BF187" s="354"/>
      <c r="BG187" s="354"/>
      <c r="BH187" s="354"/>
      <c r="BI187" s="354"/>
      <c r="BJ187" s="354"/>
      <c r="BK187" s="354"/>
      <c r="BL187" s="354"/>
      <c r="BM187" s="352"/>
      <c r="BN187" s="352"/>
      <c r="BO187" s="354"/>
      <c r="BP187" s="354"/>
      <c r="BQ187" s="354"/>
      <c r="BR187" s="354"/>
      <c r="BS187" s="354"/>
      <c r="BT187" s="354"/>
      <c r="BU187" s="354"/>
      <c r="BV187" s="354"/>
      <c r="BW187" s="354"/>
      <c r="BX187" s="354"/>
      <c r="BY187" s="354"/>
      <c r="BZ187" s="354"/>
      <c r="CA187" s="354"/>
    </row>
    <row r="188" spans="1:79" s="364" customFormat="1" x14ac:dyDescent="0.3">
      <c r="A188" s="352"/>
      <c r="B188" s="352"/>
      <c r="C188" s="354"/>
      <c r="D188" s="354"/>
      <c r="E188" s="354"/>
      <c r="F188" s="354"/>
      <c r="G188" s="354"/>
      <c r="H188" s="354"/>
      <c r="I188" s="354"/>
      <c r="J188" s="354"/>
      <c r="K188" s="354"/>
      <c r="L188" s="354"/>
      <c r="M188" s="354"/>
      <c r="N188" s="354"/>
      <c r="O188" s="354"/>
      <c r="P188" s="354"/>
      <c r="Q188" s="352"/>
      <c r="R188" s="352"/>
      <c r="S188" s="354"/>
      <c r="T188" s="354"/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2"/>
      <c r="AH188" s="352"/>
      <c r="AI188" s="354"/>
      <c r="AJ188" s="354"/>
      <c r="AK188" s="354"/>
      <c r="AL188" s="354"/>
      <c r="AM188" s="354"/>
      <c r="AN188" s="354"/>
      <c r="AO188" s="354"/>
      <c r="AP188" s="354"/>
      <c r="AQ188" s="354"/>
      <c r="AR188" s="354"/>
      <c r="AS188" s="354"/>
      <c r="AT188" s="354"/>
      <c r="AU188" s="354"/>
      <c r="AV188" s="354"/>
      <c r="AW188" s="352"/>
      <c r="AX188" s="352"/>
      <c r="AY188" s="354"/>
      <c r="AZ188" s="354"/>
      <c r="BA188" s="354"/>
      <c r="BB188" s="354"/>
      <c r="BC188" s="354"/>
      <c r="BD188" s="354"/>
      <c r="BE188" s="354"/>
      <c r="BF188" s="354"/>
      <c r="BG188" s="354"/>
      <c r="BH188" s="354"/>
      <c r="BI188" s="354"/>
      <c r="BJ188" s="354"/>
      <c r="BK188" s="354"/>
      <c r="BL188" s="354"/>
      <c r="BM188" s="352"/>
      <c r="BN188" s="352"/>
      <c r="BO188" s="354"/>
      <c r="BP188" s="354"/>
      <c r="BQ188" s="354"/>
      <c r="BR188" s="354"/>
      <c r="BS188" s="354"/>
      <c r="BT188" s="354"/>
      <c r="BU188" s="354"/>
      <c r="BV188" s="354"/>
      <c r="BW188" s="354"/>
      <c r="BX188" s="354"/>
      <c r="BY188" s="354"/>
      <c r="BZ188" s="354"/>
      <c r="CA188" s="354"/>
    </row>
    <row r="191" spans="1:79" s="391" customFormat="1" ht="20.25" customHeight="1" x14ac:dyDescent="0.3">
      <c r="A191" s="352"/>
      <c r="B191" s="352"/>
      <c r="C191" s="354"/>
      <c r="D191" s="354"/>
      <c r="E191" s="354"/>
      <c r="F191" s="354"/>
      <c r="G191" s="354"/>
      <c r="H191" s="354"/>
      <c r="I191" s="354"/>
      <c r="J191" s="354"/>
      <c r="K191" s="354"/>
      <c r="L191" s="354"/>
      <c r="M191" s="354"/>
      <c r="N191" s="354"/>
      <c r="O191" s="354"/>
      <c r="P191" s="354"/>
      <c r="Q191" s="352"/>
      <c r="R191" s="352"/>
      <c r="S191" s="354"/>
      <c r="T191" s="354"/>
      <c r="U191" s="354"/>
      <c r="V191" s="354"/>
      <c r="W191" s="354"/>
      <c r="X191" s="354"/>
      <c r="Y191" s="354"/>
      <c r="Z191" s="354"/>
      <c r="AA191" s="354"/>
      <c r="AB191" s="354"/>
      <c r="AC191" s="354"/>
      <c r="AD191" s="354"/>
      <c r="AE191" s="354"/>
      <c r="AF191" s="354"/>
      <c r="AG191" s="352"/>
      <c r="AH191" s="352"/>
      <c r="AI191" s="354"/>
      <c r="AJ191" s="354"/>
      <c r="AK191" s="354"/>
      <c r="AL191" s="354"/>
      <c r="AM191" s="354"/>
      <c r="AN191" s="354"/>
      <c r="AO191" s="354"/>
      <c r="AP191" s="354"/>
      <c r="AQ191" s="354"/>
      <c r="AR191" s="354"/>
      <c r="AS191" s="354"/>
      <c r="AT191" s="354"/>
      <c r="AU191" s="354"/>
      <c r="AV191" s="354"/>
      <c r="AW191" s="352"/>
      <c r="AX191" s="352"/>
      <c r="AY191" s="354"/>
      <c r="AZ191" s="354"/>
      <c r="BA191" s="354"/>
      <c r="BB191" s="354"/>
      <c r="BC191" s="354"/>
      <c r="BD191" s="354"/>
      <c r="BE191" s="354"/>
      <c r="BF191" s="354"/>
      <c r="BG191" s="354"/>
      <c r="BH191" s="354"/>
      <c r="BI191" s="354"/>
      <c r="BJ191" s="354"/>
      <c r="BK191" s="354"/>
      <c r="BL191" s="354"/>
      <c r="BM191" s="352"/>
      <c r="BN191" s="352"/>
      <c r="BO191" s="354"/>
      <c r="BP191" s="354"/>
      <c r="BQ191" s="354"/>
      <c r="BR191" s="354"/>
      <c r="BS191" s="354"/>
      <c r="BT191" s="354"/>
      <c r="BU191" s="354"/>
      <c r="BV191" s="354"/>
      <c r="BW191" s="354"/>
      <c r="BX191" s="354"/>
      <c r="BY191" s="354"/>
      <c r="BZ191" s="354"/>
      <c r="CA191" s="354"/>
    </row>
    <row r="192" spans="1:79" ht="16.5" customHeight="1" x14ac:dyDescent="0.3"/>
    <row r="193" spans="1:79" ht="25.5" customHeight="1" x14ac:dyDescent="0.3"/>
    <row r="194" spans="1:79" ht="29.25" customHeight="1" x14ac:dyDescent="0.3"/>
    <row r="195" spans="1:79" ht="60" customHeight="1" x14ac:dyDescent="0.3"/>
    <row r="196" spans="1:79" ht="20.25" customHeight="1" x14ac:dyDescent="0.3"/>
    <row r="197" spans="1:79" s="364" customFormat="1" ht="20.25" customHeight="1" x14ac:dyDescent="0.3">
      <c r="A197" s="352"/>
      <c r="B197" s="352"/>
      <c r="C197" s="354"/>
      <c r="D197" s="354"/>
      <c r="E197" s="354"/>
      <c r="F197" s="354"/>
      <c r="G197" s="354"/>
      <c r="H197" s="354"/>
      <c r="I197" s="354"/>
      <c r="J197" s="354"/>
      <c r="K197" s="354"/>
      <c r="L197" s="354"/>
      <c r="M197" s="354"/>
      <c r="N197" s="354"/>
      <c r="O197" s="354"/>
      <c r="P197" s="354"/>
      <c r="Q197" s="352"/>
      <c r="R197" s="352"/>
      <c r="S197" s="354"/>
      <c r="T197" s="354"/>
      <c r="U197" s="354"/>
      <c r="V197" s="354"/>
      <c r="W197" s="354"/>
      <c r="X197" s="354"/>
      <c r="Y197" s="354"/>
      <c r="Z197" s="354"/>
      <c r="AA197" s="354"/>
      <c r="AB197" s="354"/>
      <c r="AC197" s="354"/>
      <c r="AD197" s="354"/>
      <c r="AE197" s="354"/>
      <c r="AF197" s="354"/>
      <c r="AG197" s="352"/>
      <c r="AH197" s="352"/>
      <c r="AI197" s="354"/>
      <c r="AJ197" s="354"/>
      <c r="AK197" s="354"/>
      <c r="AL197" s="354"/>
      <c r="AM197" s="354"/>
      <c r="AN197" s="354"/>
      <c r="AO197" s="354"/>
      <c r="AP197" s="354"/>
      <c r="AQ197" s="354"/>
      <c r="AR197" s="354"/>
      <c r="AS197" s="354"/>
      <c r="AT197" s="354"/>
      <c r="AU197" s="354"/>
      <c r="AV197" s="354"/>
      <c r="AW197" s="352"/>
      <c r="AX197" s="352"/>
      <c r="AY197" s="354"/>
      <c r="AZ197" s="354"/>
      <c r="BA197" s="354"/>
      <c r="BB197" s="354"/>
      <c r="BC197" s="354"/>
      <c r="BD197" s="354"/>
      <c r="BE197" s="354"/>
      <c r="BF197" s="354"/>
      <c r="BG197" s="354"/>
      <c r="BH197" s="354"/>
      <c r="BI197" s="354"/>
      <c r="BJ197" s="354"/>
      <c r="BK197" s="354"/>
      <c r="BL197" s="354"/>
      <c r="BM197" s="352"/>
      <c r="BN197" s="352"/>
      <c r="BO197" s="354"/>
      <c r="BP197" s="354"/>
      <c r="BQ197" s="354"/>
      <c r="BR197" s="354"/>
      <c r="BS197" s="354"/>
      <c r="BT197" s="354"/>
      <c r="BU197" s="354"/>
      <c r="BV197" s="354"/>
      <c r="BW197" s="354"/>
      <c r="BX197" s="354"/>
      <c r="BY197" s="354"/>
      <c r="BZ197" s="354"/>
      <c r="CA197" s="354"/>
    </row>
    <row r="198" spans="1:79" s="364" customFormat="1" x14ac:dyDescent="0.3">
      <c r="A198" s="352"/>
      <c r="B198" s="352"/>
      <c r="C198" s="354"/>
      <c r="D198" s="354"/>
      <c r="E198" s="354"/>
      <c r="F198" s="354"/>
      <c r="G198" s="354"/>
      <c r="H198" s="354"/>
      <c r="I198" s="354"/>
      <c r="J198" s="354"/>
      <c r="K198" s="354"/>
      <c r="L198" s="354"/>
      <c r="M198" s="354"/>
      <c r="N198" s="354"/>
      <c r="O198" s="354"/>
      <c r="P198" s="354"/>
      <c r="Q198" s="352"/>
      <c r="R198" s="352"/>
      <c r="S198" s="354"/>
      <c r="T198" s="354"/>
      <c r="U198" s="354"/>
      <c r="V198" s="354"/>
      <c r="W198" s="354"/>
      <c r="X198" s="354"/>
      <c r="Y198" s="354"/>
      <c r="Z198" s="354"/>
      <c r="AA198" s="354"/>
      <c r="AB198" s="354"/>
      <c r="AC198" s="354"/>
      <c r="AD198" s="354"/>
      <c r="AE198" s="354"/>
      <c r="AF198" s="354"/>
      <c r="AG198" s="352"/>
      <c r="AH198" s="352"/>
      <c r="AI198" s="354"/>
      <c r="AJ198" s="354"/>
      <c r="AK198" s="354"/>
      <c r="AL198" s="354"/>
      <c r="AM198" s="354"/>
      <c r="AN198" s="354"/>
      <c r="AO198" s="354"/>
      <c r="AP198" s="354"/>
      <c r="AQ198" s="354"/>
      <c r="AR198" s="354"/>
      <c r="AS198" s="354"/>
      <c r="AT198" s="354"/>
      <c r="AU198" s="354"/>
      <c r="AV198" s="354"/>
      <c r="AW198" s="352"/>
      <c r="AX198" s="352"/>
      <c r="AY198" s="354"/>
      <c r="AZ198" s="354"/>
      <c r="BA198" s="354"/>
      <c r="BB198" s="354"/>
      <c r="BC198" s="354"/>
      <c r="BD198" s="354"/>
      <c r="BE198" s="354"/>
      <c r="BF198" s="354"/>
      <c r="BG198" s="354"/>
      <c r="BH198" s="354"/>
      <c r="BI198" s="354"/>
      <c r="BJ198" s="354"/>
      <c r="BK198" s="354"/>
      <c r="BL198" s="354"/>
      <c r="BM198" s="352"/>
      <c r="BN198" s="352"/>
      <c r="BO198" s="354"/>
      <c r="BP198" s="354"/>
      <c r="BQ198" s="354"/>
      <c r="BR198" s="354"/>
      <c r="BS198" s="354"/>
      <c r="BT198" s="354"/>
      <c r="BU198" s="354"/>
      <c r="BV198" s="354"/>
      <c r="BW198" s="354"/>
      <c r="BX198" s="354"/>
      <c r="BY198" s="354"/>
      <c r="BZ198" s="354"/>
      <c r="CA198" s="354"/>
    </row>
    <row r="199" spans="1:79" s="364" customFormat="1" x14ac:dyDescent="0.3">
      <c r="A199" s="352"/>
      <c r="B199" s="352"/>
      <c r="C199" s="354"/>
      <c r="D199" s="354"/>
      <c r="E199" s="354"/>
      <c r="F199" s="354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2"/>
      <c r="R199" s="352"/>
      <c r="S199" s="354"/>
      <c r="T199" s="354"/>
      <c r="U199" s="354"/>
      <c r="V199" s="354"/>
      <c r="W199" s="354"/>
      <c r="X199" s="354"/>
      <c r="Y199" s="354"/>
      <c r="Z199" s="354"/>
      <c r="AA199" s="354"/>
      <c r="AB199" s="354"/>
      <c r="AC199" s="354"/>
      <c r="AD199" s="354"/>
      <c r="AE199" s="354"/>
      <c r="AF199" s="354"/>
      <c r="AG199" s="352"/>
      <c r="AH199" s="352"/>
      <c r="AI199" s="354"/>
      <c r="AJ199" s="354"/>
      <c r="AK199" s="354"/>
      <c r="AL199" s="354"/>
      <c r="AM199" s="354"/>
      <c r="AN199" s="354"/>
      <c r="AO199" s="354"/>
      <c r="AP199" s="354"/>
      <c r="AQ199" s="354"/>
      <c r="AR199" s="354"/>
      <c r="AS199" s="354"/>
      <c r="AT199" s="354"/>
      <c r="AU199" s="354"/>
      <c r="AV199" s="354"/>
      <c r="AW199" s="352"/>
      <c r="AX199" s="352"/>
      <c r="AY199" s="354"/>
      <c r="AZ199" s="354"/>
      <c r="BA199" s="354"/>
      <c r="BB199" s="354"/>
      <c r="BC199" s="354"/>
      <c r="BD199" s="354"/>
      <c r="BE199" s="354"/>
      <c r="BF199" s="354"/>
      <c r="BG199" s="354"/>
      <c r="BH199" s="354"/>
      <c r="BI199" s="354"/>
      <c r="BJ199" s="354"/>
      <c r="BK199" s="354"/>
      <c r="BL199" s="354"/>
      <c r="BM199" s="352"/>
      <c r="BN199" s="352"/>
      <c r="BO199" s="354"/>
      <c r="BP199" s="354"/>
      <c r="BQ199" s="354"/>
      <c r="BR199" s="354"/>
      <c r="BS199" s="354"/>
      <c r="BT199" s="354"/>
      <c r="BU199" s="354"/>
      <c r="BV199" s="354"/>
      <c r="BW199" s="354"/>
      <c r="BX199" s="354"/>
      <c r="BY199" s="354"/>
      <c r="BZ199" s="354"/>
      <c r="CA199" s="354"/>
    </row>
    <row r="200" spans="1:79" s="364" customFormat="1" x14ac:dyDescent="0.3">
      <c r="A200" s="352"/>
      <c r="B200" s="352"/>
      <c r="C200" s="354"/>
      <c r="D200" s="354"/>
      <c r="E200" s="354"/>
      <c r="F200" s="354"/>
      <c r="G200" s="354"/>
      <c r="H200" s="354"/>
      <c r="I200" s="354"/>
      <c r="J200" s="354"/>
      <c r="K200" s="354"/>
      <c r="L200" s="354"/>
      <c r="M200" s="354"/>
      <c r="N200" s="354"/>
      <c r="O200" s="354"/>
      <c r="P200" s="354"/>
      <c r="Q200" s="352"/>
      <c r="R200" s="352"/>
      <c r="S200" s="354"/>
      <c r="T200" s="354"/>
      <c r="U200" s="354"/>
      <c r="V200" s="354"/>
      <c r="W200" s="354"/>
      <c r="X200" s="354"/>
      <c r="Y200" s="354"/>
      <c r="Z200" s="354"/>
      <c r="AA200" s="354"/>
      <c r="AB200" s="354"/>
      <c r="AC200" s="354"/>
      <c r="AD200" s="354"/>
      <c r="AE200" s="354"/>
      <c r="AF200" s="354"/>
      <c r="AG200" s="352"/>
      <c r="AH200" s="352"/>
      <c r="AI200" s="354"/>
      <c r="AJ200" s="354"/>
      <c r="AK200" s="354"/>
      <c r="AL200" s="354"/>
      <c r="AM200" s="354"/>
      <c r="AN200" s="354"/>
      <c r="AO200" s="354"/>
      <c r="AP200" s="354"/>
      <c r="AQ200" s="354"/>
      <c r="AR200" s="354"/>
      <c r="AS200" s="354"/>
      <c r="AT200" s="354"/>
      <c r="AU200" s="354"/>
      <c r="AV200" s="354"/>
      <c r="AW200" s="352"/>
      <c r="AX200" s="352"/>
      <c r="AY200" s="354"/>
      <c r="AZ200" s="354"/>
      <c r="BA200" s="354"/>
      <c r="BB200" s="354"/>
      <c r="BC200" s="354"/>
      <c r="BD200" s="354"/>
      <c r="BE200" s="354"/>
      <c r="BF200" s="354"/>
      <c r="BG200" s="354"/>
      <c r="BH200" s="354"/>
      <c r="BI200" s="354"/>
      <c r="BJ200" s="354"/>
      <c r="BK200" s="354"/>
      <c r="BL200" s="354"/>
      <c r="BM200" s="352"/>
      <c r="BN200" s="352"/>
      <c r="BO200" s="354"/>
      <c r="BP200" s="354"/>
      <c r="BQ200" s="354"/>
      <c r="BR200" s="354"/>
      <c r="BS200" s="354"/>
      <c r="BT200" s="354"/>
      <c r="BU200" s="354"/>
      <c r="BV200" s="354"/>
      <c r="BW200" s="354"/>
      <c r="BX200" s="354"/>
      <c r="BY200" s="354"/>
      <c r="BZ200" s="354"/>
      <c r="CA200" s="354"/>
    </row>
    <row r="203" spans="1:79" s="391" customFormat="1" x14ac:dyDescent="0.3">
      <c r="A203" s="352"/>
      <c r="B203" s="352"/>
      <c r="C203" s="354"/>
      <c r="D203" s="354"/>
      <c r="E203" s="354"/>
      <c r="F203" s="354"/>
      <c r="G203" s="354"/>
      <c r="H203" s="354"/>
      <c r="I203" s="354"/>
      <c r="J203" s="354"/>
      <c r="K203" s="354"/>
      <c r="L203" s="354"/>
      <c r="M203" s="354"/>
      <c r="N203" s="354"/>
      <c r="O203" s="354"/>
      <c r="P203" s="354"/>
      <c r="Q203" s="352"/>
      <c r="R203" s="352"/>
      <c r="S203" s="354"/>
      <c r="T203" s="354"/>
      <c r="U203" s="354"/>
      <c r="V203" s="354"/>
      <c r="W203" s="354"/>
      <c r="X203" s="354"/>
      <c r="Y203" s="354"/>
      <c r="Z203" s="354"/>
      <c r="AA203" s="354"/>
      <c r="AB203" s="354"/>
      <c r="AC203" s="354"/>
      <c r="AD203" s="354"/>
      <c r="AE203" s="354"/>
      <c r="AF203" s="354"/>
      <c r="AG203" s="352"/>
      <c r="AH203" s="352"/>
      <c r="AI203" s="354"/>
      <c r="AJ203" s="354"/>
      <c r="AK203" s="354"/>
      <c r="AL203" s="354"/>
      <c r="AM203" s="354"/>
      <c r="AN203" s="354"/>
      <c r="AO203" s="354"/>
      <c r="AP203" s="354"/>
      <c r="AQ203" s="354"/>
      <c r="AR203" s="354"/>
      <c r="AS203" s="354"/>
      <c r="AT203" s="354"/>
      <c r="AU203" s="354"/>
      <c r="AV203" s="354"/>
      <c r="AW203" s="352"/>
      <c r="AX203" s="352"/>
      <c r="AY203" s="354"/>
      <c r="AZ203" s="354"/>
      <c r="BA203" s="354"/>
      <c r="BB203" s="354"/>
      <c r="BC203" s="354"/>
      <c r="BD203" s="354"/>
      <c r="BE203" s="354"/>
      <c r="BF203" s="354"/>
      <c r="BG203" s="354"/>
      <c r="BH203" s="354"/>
      <c r="BI203" s="354"/>
      <c r="BJ203" s="354"/>
      <c r="BK203" s="354"/>
      <c r="BL203" s="354"/>
      <c r="BM203" s="352"/>
      <c r="BN203" s="352"/>
      <c r="BO203" s="354"/>
      <c r="BP203" s="354"/>
      <c r="BQ203" s="354"/>
      <c r="BR203" s="354"/>
      <c r="BS203" s="354"/>
      <c r="BT203" s="354"/>
      <c r="BU203" s="354"/>
      <c r="BV203" s="354"/>
      <c r="BW203" s="354"/>
      <c r="BX203" s="354"/>
      <c r="BY203" s="354"/>
      <c r="BZ203" s="354"/>
      <c r="CA203" s="354"/>
    </row>
    <row r="205" spans="1:79" ht="28.5" customHeight="1" x14ac:dyDescent="0.3"/>
    <row r="206" spans="1:79" ht="30.75" customHeight="1" x14ac:dyDescent="0.3"/>
    <row r="207" spans="1:79" ht="54.9" customHeight="1" x14ac:dyDescent="0.3"/>
    <row r="208" spans="1:79" ht="20.25" customHeight="1" x14ac:dyDescent="0.3"/>
    <row r="209" spans="1:79" ht="20.25" customHeight="1" x14ac:dyDescent="0.3"/>
    <row r="210" spans="1:79" s="364" customFormat="1" x14ac:dyDescent="0.3">
      <c r="A210" s="352"/>
      <c r="B210" s="352"/>
      <c r="C210" s="354"/>
      <c r="D210" s="354"/>
      <c r="E210" s="354"/>
      <c r="F210" s="354"/>
      <c r="G210" s="354"/>
      <c r="H210" s="354"/>
      <c r="I210" s="354"/>
      <c r="J210" s="354"/>
      <c r="K210" s="354"/>
      <c r="L210" s="354"/>
      <c r="M210" s="354"/>
      <c r="N210" s="354"/>
      <c r="O210" s="354"/>
      <c r="P210" s="354"/>
      <c r="Q210" s="352"/>
      <c r="R210" s="352"/>
      <c r="S210" s="354"/>
      <c r="T210" s="354"/>
      <c r="U210" s="354"/>
      <c r="V210" s="354"/>
      <c r="W210" s="354"/>
      <c r="X210" s="354"/>
      <c r="Y210" s="354"/>
      <c r="Z210" s="354"/>
      <c r="AA210" s="354"/>
      <c r="AB210" s="354"/>
      <c r="AC210" s="354"/>
      <c r="AD210" s="354"/>
      <c r="AE210" s="354"/>
      <c r="AF210" s="354"/>
      <c r="AG210" s="352"/>
      <c r="AH210" s="352"/>
      <c r="AI210" s="354"/>
      <c r="AJ210" s="354"/>
      <c r="AK210" s="354"/>
      <c r="AL210" s="354"/>
      <c r="AM210" s="354"/>
      <c r="AN210" s="354"/>
      <c r="AO210" s="354"/>
      <c r="AP210" s="354"/>
      <c r="AQ210" s="354"/>
      <c r="AR210" s="354"/>
      <c r="AS210" s="354"/>
      <c r="AT210" s="354"/>
      <c r="AU210" s="354"/>
      <c r="AV210" s="354"/>
      <c r="AW210" s="352"/>
      <c r="AX210" s="352"/>
      <c r="AY210" s="354"/>
      <c r="AZ210" s="354"/>
      <c r="BA210" s="354"/>
      <c r="BB210" s="354"/>
      <c r="BC210" s="354"/>
      <c r="BD210" s="354"/>
      <c r="BE210" s="354"/>
      <c r="BF210" s="354"/>
      <c r="BG210" s="354"/>
      <c r="BH210" s="354"/>
      <c r="BI210" s="354"/>
      <c r="BJ210" s="354"/>
      <c r="BK210" s="354"/>
      <c r="BL210" s="354"/>
      <c r="BM210" s="352"/>
      <c r="BN210" s="352"/>
      <c r="BO210" s="354"/>
      <c r="BP210" s="354"/>
      <c r="BQ210" s="354"/>
      <c r="BR210" s="354"/>
      <c r="BS210" s="354"/>
      <c r="BT210" s="354"/>
      <c r="BU210" s="354"/>
      <c r="BV210" s="354"/>
      <c r="BW210" s="354"/>
      <c r="BX210" s="354"/>
      <c r="BY210" s="354"/>
      <c r="BZ210" s="354"/>
      <c r="CA210" s="354"/>
    </row>
    <row r="211" spans="1:79" s="364" customFormat="1" x14ac:dyDescent="0.3">
      <c r="A211" s="352"/>
      <c r="B211" s="352"/>
      <c r="C211" s="354"/>
      <c r="D211" s="354"/>
      <c r="E211" s="354"/>
      <c r="F211" s="354"/>
      <c r="G211" s="354"/>
      <c r="H211" s="354"/>
      <c r="I211" s="354"/>
      <c r="J211" s="354"/>
      <c r="K211" s="354"/>
      <c r="L211" s="354"/>
      <c r="M211" s="354"/>
      <c r="N211" s="354"/>
      <c r="O211" s="354"/>
      <c r="P211" s="354"/>
      <c r="Q211" s="352"/>
      <c r="R211" s="352"/>
      <c r="S211" s="354"/>
      <c r="T211" s="354"/>
      <c r="U211" s="354"/>
      <c r="V211" s="354"/>
      <c r="W211" s="354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2"/>
      <c r="AH211" s="352"/>
      <c r="AI211" s="354"/>
      <c r="AJ211" s="354"/>
      <c r="AK211" s="354"/>
      <c r="AL211" s="354"/>
      <c r="AM211" s="354"/>
      <c r="AN211" s="354"/>
      <c r="AO211" s="354"/>
      <c r="AP211" s="354"/>
      <c r="AQ211" s="354"/>
      <c r="AR211" s="354"/>
      <c r="AS211" s="354"/>
      <c r="AT211" s="354"/>
      <c r="AU211" s="354"/>
      <c r="AV211" s="354"/>
      <c r="AW211" s="352"/>
      <c r="AX211" s="352"/>
      <c r="AY211" s="354"/>
      <c r="AZ211" s="354"/>
      <c r="BA211" s="354"/>
      <c r="BB211" s="354"/>
      <c r="BC211" s="354"/>
      <c r="BD211" s="354"/>
      <c r="BE211" s="354"/>
      <c r="BF211" s="354"/>
      <c r="BG211" s="354"/>
      <c r="BH211" s="354"/>
      <c r="BI211" s="354"/>
      <c r="BJ211" s="354"/>
      <c r="BK211" s="354"/>
      <c r="BL211" s="354"/>
      <c r="BM211" s="352"/>
      <c r="BN211" s="352"/>
      <c r="BO211" s="354"/>
      <c r="BP211" s="354"/>
      <c r="BQ211" s="354"/>
      <c r="BR211" s="354"/>
      <c r="BS211" s="354"/>
      <c r="BT211" s="354"/>
      <c r="BU211" s="354"/>
      <c r="BV211" s="354"/>
      <c r="BW211" s="354"/>
      <c r="BX211" s="354"/>
      <c r="BY211" s="354"/>
      <c r="BZ211" s="354"/>
      <c r="CA211" s="354"/>
    </row>
    <row r="212" spans="1:79" s="364" customFormat="1" x14ac:dyDescent="0.3">
      <c r="A212" s="352"/>
      <c r="B212" s="352"/>
      <c r="C212" s="354"/>
      <c r="D212" s="354"/>
      <c r="E212" s="354"/>
      <c r="F212" s="354"/>
      <c r="G212" s="354"/>
      <c r="H212" s="354"/>
      <c r="I212" s="354"/>
      <c r="J212" s="354"/>
      <c r="K212" s="354"/>
      <c r="L212" s="354"/>
      <c r="M212" s="354"/>
      <c r="N212" s="354"/>
      <c r="O212" s="354"/>
      <c r="P212" s="354"/>
      <c r="Q212" s="352"/>
      <c r="R212" s="352"/>
      <c r="S212" s="354"/>
      <c r="T212" s="354"/>
      <c r="U212" s="354"/>
      <c r="V212" s="354"/>
      <c r="W212" s="354"/>
      <c r="X212" s="354"/>
      <c r="Y212" s="354"/>
      <c r="Z212" s="354"/>
      <c r="AA212" s="354"/>
      <c r="AB212" s="354"/>
      <c r="AC212" s="354"/>
      <c r="AD212" s="354"/>
      <c r="AE212" s="354"/>
      <c r="AF212" s="354"/>
      <c r="AG212" s="352"/>
      <c r="AH212" s="352"/>
      <c r="AI212" s="354"/>
      <c r="AJ212" s="354"/>
      <c r="AK212" s="354"/>
      <c r="AL212" s="354"/>
      <c r="AM212" s="354"/>
      <c r="AN212" s="354"/>
      <c r="AO212" s="354"/>
      <c r="AP212" s="354"/>
      <c r="AQ212" s="354"/>
      <c r="AR212" s="354"/>
      <c r="AS212" s="354"/>
      <c r="AT212" s="354"/>
      <c r="AU212" s="354"/>
      <c r="AV212" s="354"/>
      <c r="AW212" s="352"/>
      <c r="AX212" s="352"/>
      <c r="AY212" s="354"/>
      <c r="AZ212" s="354"/>
      <c r="BA212" s="354"/>
      <c r="BB212" s="354"/>
      <c r="BC212" s="354"/>
      <c r="BD212" s="354"/>
      <c r="BE212" s="354"/>
      <c r="BF212" s="354"/>
      <c r="BG212" s="354"/>
      <c r="BH212" s="354"/>
      <c r="BI212" s="354"/>
      <c r="BJ212" s="354"/>
      <c r="BK212" s="354"/>
      <c r="BL212" s="354"/>
      <c r="BM212" s="352"/>
      <c r="BN212" s="352"/>
      <c r="BO212" s="354"/>
      <c r="BP212" s="354"/>
      <c r="BQ212" s="354"/>
      <c r="BR212" s="354"/>
      <c r="BS212" s="354"/>
      <c r="BT212" s="354"/>
      <c r="BU212" s="354"/>
      <c r="BV212" s="354"/>
      <c r="BW212" s="354"/>
      <c r="BX212" s="354"/>
      <c r="BY212" s="354"/>
      <c r="BZ212" s="354"/>
      <c r="CA212" s="354"/>
    </row>
    <row r="215" spans="1:79" s="391" customFormat="1" x14ac:dyDescent="0.3">
      <c r="A215" s="352"/>
      <c r="B215" s="352"/>
      <c r="C215" s="354"/>
      <c r="D215" s="354"/>
      <c r="E215" s="354"/>
      <c r="F215" s="354"/>
      <c r="G215" s="354"/>
      <c r="H215" s="354"/>
      <c r="I215" s="354"/>
      <c r="J215" s="354"/>
      <c r="K215" s="354"/>
      <c r="L215" s="354"/>
      <c r="M215" s="354"/>
      <c r="N215" s="354"/>
      <c r="O215" s="354"/>
      <c r="P215" s="354"/>
      <c r="Q215" s="352"/>
      <c r="R215" s="352"/>
      <c r="S215" s="354"/>
      <c r="T215" s="354"/>
      <c r="U215" s="354"/>
      <c r="V215" s="354"/>
      <c r="W215" s="354"/>
      <c r="X215" s="354"/>
      <c r="Y215" s="354"/>
      <c r="Z215" s="354"/>
      <c r="AA215" s="354"/>
      <c r="AB215" s="354"/>
      <c r="AC215" s="354"/>
      <c r="AD215" s="354"/>
      <c r="AE215" s="354"/>
      <c r="AF215" s="354"/>
      <c r="AG215" s="352"/>
      <c r="AH215" s="352"/>
      <c r="AI215" s="354"/>
      <c r="AJ215" s="354"/>
      <c r="AK215" s="354"/>
      <c r="AL215" s="354"/>
      <c r="AM215" s="354"/>
      <c r="AN215" s="354"/>
      <c r="AO215" s="354"/>
      <c r="AP215" s="354"/>
      <c r="AQ215" s="354"/>
      <c r="AR215" s="354"/>
      <c r="AS215" s="354"/>
      <c r="AT215" s="354"/>
      <c r="AU215" s="354"/>
      <c r="AV215" s="354"/>
      <c r="AW215" s="352"/>
      <c r="AX215" s="352"/>
      <c r="AY215" s="354"/>
      <c r="AZ215" s="354"/>
      <c r="BA215" s="354"/>
      <c r="BB215" s="354"/>
      <c r="BC215" s="354"/>
      <c r="BD215" s="354"/>
      <c r="BE215" s="354"/>
      <c r="BF215" s="354"/>
      <c r="BG215" s="354"/>
      <c r="BH215" s="354"/>
      <c r="BI215" s="354"/>
      <c r="BJ215" s="354"/>
      <c r="BK215" s="354"/>
      <c r="BL215" s="354"/>
      <c r="BM215" s="352"/>
      <c r="BN215" s="352"/>
      <c r="BO215" s="354"/>
      <c r="BP215" s="354"/>
      <c r="BQ215" s="354"/>
      <c r="BR215" s="354"/>
      <c r="BS215" s="354"/>
      <c r="BT215" s="354"/>
      <c r="BU215" s="354"/>
      <c r="BV215" s="354"/>
      <c r="BW215" s="354"/>
      <c r="BX215" s="354"/>
      <c r="BY215" s="354"/>
      <c r="BZ215" s="354"/>
      <c r="CA215" s="354"/>
    </row>
    <row r="218" spans="1:79" ht="31.65" customHeight="1" x14ac:dyDescent="0.3"/>
    <row r="219" spans="1:79" ht="54.9" customHeight="1" x14ac:dyDescent="0.3"/>
    <row r="220" spans="1:79" ht="20.25" customHeight="1" x14ac:dyDescent="0.3"/>
    <row r="221" spans="1:79" ht="20.25" customHeight="1" x14ac:dyDescent="0.3"/>
    <row r="222" spans="1:79" s="364" customFormat="1" x14ac:dyDescent="0.3">
      <c r="A222" s="352"/>
      <c r="B222" s="352"/>
      <c r="C222" s="354"/>
      <c r="D222" s="354"/>
      <c r="E222" s="354"/>
      <c r="F222" s="354"/>
      <c r="G222" s="354"/>
      <c r="H222" s="354"/>
      <c r="I222" s="354"/>
      <c r="J222" s="354"/>
      <c r="K222" s="354"/>
      <c r="L222" s="354"/>
      <c r="M222" s="354"/>
      <c r="N222" s="354"/>
      <c r="O222" s="354"/>
      <c r="P222" s="354"/>
      <c r="Q222" s="352"/>
      <c r="R222" s="352"/>
      <c r="S222" s="354"/>
      <c r="T222" s="354"/>
      <c r="U222" s="354"/>
      <c r="V222" s="354"/>
      <c r="W222" s="354"/>
      <c r="X222" s="354"/>
      <c r="Y222" s="354"/>
      <c r="Z222" s="354"/>
      <c r="AA222" s="354"/>
      <c r="AB222" s="354"/>
      <c r="AC222" s="354"/>
      <c r="AD222" s="354"/>
      <c r="AE222" s="354"/>
      <c r="AF222" s="354"/>
      <c r="AG222" s="352"/>
      <c r="AH222" s="352"/>
      <c r="AI222" s="354"/>
      <c r="AJ222" s="354"/>
      <c r="AK222" s="354"/>
      <c r="AL222" s="354"/>
      <c r="AM222" s="354"/>
      <c r="AN222" s="354"/>
      <c r="AO222" s="354"/>
      <c r="AP222" s="354"/>
      <c r="AQ222" s="354"/>
      <c r="AR222" s="354"/>
      <c r="AS222" s="354"/>
      <c r="AT222" s="354"/>
      <c r="AU222" s="354"/>
      <c r="AV222" s="354"/>
      <c r="AW222" s="352"/>
      <c r="AX222" s="352"/>
      <c r="AY222" s="354"/>
      <c r="AZ222" s="354"/>
      <c r="BA222" s="354"/>
      <c r="BB222" s="354"/>
      <c r="BC222" s="354"/>
      <c r="BD222" s="354"/>
      <c r="BE222" s="354"/>
      <c r="BF222" s="354"/>
      <c r="BG222" s="354"/>
      <c r="BH222" s="354"/>
      <c r="BI222" s="354"/>
      <c r="BJ222" s="354"/>
      <c r="BK222" s="354"/>
      <c r="BL222" s="354"/>
      <c r="BM222" s="352"/>
      <c r="BN222" s="352"/>
      <c r="BO222" s="354"/>
      <c r="BP222" s="354"/>
      <c r="BQ222" s="354"/>
      <c r="BR222" s="354"/>
      <c r="BS222" s="354"/>
      <c r="BT222" s="354"/>
      <c r="BU222" s="354"/>
      <c r="BV222" s="354"/>
      <c r="BW222" s="354"/>
      <c r="BX222" s="354"/>
      <c r="BY222" s="354"/>
      <c r="BZ222" s="354"/>
      <c r="CA222" s="354"/>
    </row>
    <row r="224" spans="1:79" s="364" customFormat="1" x14ac:dyDescent="0.3">
      <c r="A224" s="352"/>
      <c r="B224" s="352"/>
      <c r="C224" s="354"/>
      <c r="D224" s="354"/>
      <c r="E224" s="354"/>
      <c r="F224" s="354"/>
      <c r="G224" s="354"/>
      <c r="H224" s="354"/>
      <c r="I224" s="354"/>
      <c r="J224" s="354"/>
      <c r="K224" s="354"/>
      <c r="L224" s="354"/>
      <c r="M224" s="354"/>
      <c r="N224" s="354"/>
      <c r="O224" s="354"/>
      <c r="P224" s="354"/>
      <c r="Q224" s="352"/>
      <c r="R224" s="352"/>
      <c r="S224" s="354"/>
      <c r="T224" s="354"/>
      <c r="U224" s="354"/>
      <c r="V224" s="354"/>
      <c r="W224" s="354"/>
      <c r="X224" s="354"/>
      <c r="Y224" s="354"/>
      <c r="Z224" s="354"/>
      <c r="AA224" s="354"/>
      <c r="AB224" s="354"/>
      <c r="AC224" s="354"/>
      <c r="AD224" s="354"/>
      <c r="AE224" s="354"/>
      <c r="AF224" s="354"/>
      <c r="AG224" s="352"/>
      <c r="AH224" s="352"/>
      <c r="AI224" s="354"/>
      <c r="AJ224" s="354"/>
      <c r="AK224" s="354"/>
      <c r="AL224" s="354"/>
      <c r="AM224" s="354"/>
      <c r="AN224" s="354"/>
      <c r="AO224" s="354"/>
      <c r="AP224" s="354"/>
      <c r="AQ224" s="354"/>
      <c r="AR224" s="354"/>
      <c r="AS224" s="354"/>
      <c r="AT224" s="354"/>
      <c r="AU224" s="354"/>
      <c r="AV224" s="354"/>
      <c r="AW224" s="352"/>
      <c r="AX224" s="352"/>
      <c r="AY224" s="354"/>
      <c r="AZ224" s="354"/>
      <c r="BA224" s="354"/>
      <c r="BB224" s="354"/>
      <c r="BC224" s="354"/>
      <c r="BD224" s="354"/>
      <c r="BE224" s="354"/>
      <c r="BF224" s="354"/>
      <c r="BG224" s="354"/>
      <c r="BH224" s="354"/>
      <c r="BI224" s="354"/>
      <c r="BJ224" s="354"/>
      <c r="BK224" s="354"/>
      <c r="BL224" s="354"/>
      <c r="BM224" s="352"/>
      <c r="BN224" s="352"/>
      <c r="BO224" s="354"/>
      <c r="BP224" s="354"/>
      <c r="BQ224" s="354"/>
      <c r="BR224" s="354"/>
      <c r="BS224" s="354"/>
      <c r="BT224" s="354"/>
      <c r="BU224" s="354"/>
      <c r="BV224" s="354"/>
      <c r="BW224" s="354"/>
      <c r="BX224" s="354"/>
      <c r="BY224" s="354"/>
      <c r="BZ224" s="354"/>
      <c r="CA224" s="354"/>
    </row>
    <row r="227" spans="1:79" s="391" customFormat="1" x14ac:dyDescent="0.3">
      <c r="A227" s="352"/>
      <c r="B227" s="352"/>
      <c r="C227" s="354"/>
      <c r="D227" s="354"/>
      <c r="E227" s="354"/>
      <c r="F227" s="354"/>
      <c r="G227" s="354"/>
      <c r="H227" s="354"/>
      <c r="I227" s="354"/>
      <c r="J227" s="354"/>
      <c r="K227" s="354"/>
      <c r="L227" s="354"/>
      <c r="M227" s="354"/>
      <c r="N227" s="354"/>
      <c r="O227" s="354"/>
      <c r="P227" s="354"/>
      <c r="Q227" s="352"/>
      <c r="R227" s="352"/>
      <c r="S227" s="354"/>
      <c r="T227" s="354"/>
      <c r="U227" s="354"/>
      <c r="V227" s="354"/>
      <c r="W227" s="354"/>
      <c r="X227" s="354"/>
      <c r="Y227" s="354"/>
      <c r="Z227" s="354"/>
      <c r="AA227" s="354"/>
      <c r="AB227" s="354"/>
      <c r="AC227" s="354"/>
      <c r="AD227" s="354"/>
      <c r="AE227" s="354"/>
      <c r="AF227" s="354"/>
      <c r="AG227" s="352"/>
      <c r="AH227" s="352"/>
      <c r="AI227" s="354"/>
      <c r="AJ227" s="354"/>
      <c r="AK227" s="354"/>
      <c r="AL227" s="354"/>
      <c r="AM227" s="354"/>
      <c r="AN227" s="354"/>
      <c r="AO227" s="354"/>
      <c r="AP227" s="354"/>
      <c r="AQ227" s="354"/>
      <c r="AR227" s="354"/>
      <c r="AS227" s="354"/>
      <c r="AT227" s="354"/>
      <c r="AU227" s="354"/>
      <c r="AV227" s="354"/>
      <c r="AW227" s="352"/>
      <c r="AX227" s="352"/>
      <c r="AY227" s="354"/>
      <c r="AZ227" s="354"/>
      <c r="BA227" s="354"/>
      <c r="BB227" s="354"/>
      <c r="BC227" s="354"/>
      <c r="BD227" s="354"/>
      <c r="BE227" s="354"/>
      <c r="BF227" s="354"/>
      <c r="BG227" s="354"/>
      <c r="BH227" s="354"/>
      <c r="BI227" s="354"/>
      <c r="BJ227" s="354"/>
      <c r="BK227" s="354"/>
      <c r="BL227" s="354"/>
      <c r="BM227" s="352"/>
      <c r="BN227" s="352"/>
      <c r="BO227" s="354"/>
      <c r="BP227" s="354"/>
      <c r="BQ227" s="354"/>
      <c r="BR227" s="354"/>
      <c r="BS227" s="354"/>
      <c r="BT227" s="354"/>
      <c r="BU227" s="354"/>
      <c r="BV227" s="354"/>
      <c r="BW227" s="354"/>
      <c r="BX227" s="354"/>
      <c r="BY227" s="354"/>
      <c r="BZ227" s="354"/>
      <c r="CA227" s="354"/>
    </row>
    <row r="231" spans="1:79" ht="54.9" customHeight="1" x14ac:dyDescent="0.3"/>
    <row r="232" spans="1:79" ht="20.25" customHeight="1" x14ac:dyDescent="0.3"/>
    <row r="233" spans="1:79" ht="20.25" customHeight="1" x14ac:dyDescent="0.3"/>
    <row r="234" spans="1:79" s="364" customFormat="1" x14ac:dyDescent="0.3">
      <c r="A234" s="352"/>
      <c r="B234" s="352"/>
      <c r="C234" s="354"/>
      <c r="D234" s="354"/>
      <c r="E234" s="354"/>
      <c r="F234" s="354"/>
      <c r="G234" s="354"/>
      <c r="H234" s="354"/>
      <c r="I234" s="354"/>
      <c r="J234" s="354"/>
      <c r="K234" s="354"/>
      <c r="L234" s="354"/>
      <c r="M234" s="354"/>
      <c r="N234" s="354"/>
      <c r="O234" s="354"/>
      <c r="P234" s="354"/>
      <c r="Q234" s="352"/>
      <c r="R234" s="352"/>
      <c r="S234" s="354"/>
      <c r="T234" s="354"/>
      <c r="U234" s="354"/>
      <c r="V234" s="354"/>
      <c r="W234" s="354"/>
      <c r="X234" s="354"/>
      <c r="Y234" s="354"/>
      <c r="Z234" s="354"/>
      <c r="AA234" s="354"/>
      <c r="AB234" s="354"/>
      <c r="AC234" s="354"/>
      <c r="AD234" s="354"/>
      <c r="AE234" s="354"/>
      <c r="AF234" s="354"/>
      <c r="AG234" s="352"/>
      <c r="AH234" s="352"/>
      <c r="AI234" s="354"/>
      <c r="AJ234" s="354"/>
      <c r="AK234" s="354"/>
      <c r="AL234" s="354"/>
      <c r="AM234" s="354"/>
      <c r="AN234" s="354"/>
      <c r="AO234" s="354"/>
      <c r="AP234" s="354"/>
      <c r="AQ234" s="354"/>
      <c r="AR234" s="354"/>
      <c r="AS234" s="354"/>
      <c r="AT234" s="354"/>
      <c r="AU234" s="354"/>
      <c r="AV234" s="354"/>
      <c r="AW234" s="352"/>
      <c r="AX234" s="352"/>
      <c r="AY234" s="354"/>
      <c r="AZ234" s="354"/>
      <c r="BA234" s="354"/>
      <c r="BB234" s="354"/>
      <c r="BC234" s="354"/>
      <c r="BD234" s="354"/>
      <c r="BE234" s="354"/>
      <c r="BF234" s="354"/>
      <c r="BG234" s="354"/>
      <c r="BH234" s="354"/>
      <c r="BI234" s="354"/>
      <c r="BJ234" s="354"/>
      <c r="BK234" s="354"/>
      <c r="BL234" s="354"/>
      <c r="BM234" s="352"/>
      <c r="BN234" s="352"/>
      <c r="BO234" s="354"/>
      <c r="BP234" s="354"/>
      <c r="BQ234" s="354"/>
      <c r="BR234" s="354"/>
      <c r="BS234" s="354"/>
      <c r="BT234" s="354"/>
      <c r="BU234" s="354"/>
      <c r="BV234" s="354"/>
      <c r="BW234" s="354"/>
      <c r="BX234" s="354"/>
      <c r="BY234" s="354"/>
      <c r="BZ234" s="354"/>
      <c r="CA234" s="354"/>
    </row>
    <row r="235" spans="1:79" s="364" customFormat="1" x14ac:dyDescent="0.3">
      <c r="A235" s="352"/>
      <c r="B235" s="352"/>
      <c r="C235" s="354"/>
      <c r="D235" s="354"/>
      <c r="E235" s="354"/>
      <c r="F235" s="354"/>
      <c r="G235" s="354"/>
      <c r="H235" s="354"/>
      <c r="I235" s="354"/>
      <c r="J235" s="354"/>
      <c r="K235" s="354"/>
      <c r="L235" s="354"/>
      <c r="M235" s="354"/>
      <c r="N235" s="354"/>
      <c r="O235" s="354"/>
      <c r="P235" s="354"/>
      <c r="Q235" s="352"/>
      <c r="R235" s="352"/>
      <c r="S235" s="354"/>
      <c r="T235" s="354"/>
      <c r="U235" s="354"/>
      <c r="V235" s="354"/>
      <c r="W235" s="354"/>
      <c r="X235" s="354"/>
      <c r="Y235" s="354"/>
      <c r="Z235" s="354"/>
      <c r="AA235" s="354"/>
      <c r="AB235" s="354"/>
      <c r="AC235" s="354"/>
      <c r="AD235" s="354"/>
      <c r="AE235" s="354"/>
      <c r="AF235" s="354"/>
      <c r="AG235" s="352"/>
      <c r="AH235" s="352"/>
      <c r="AI235" s="354"/>
      <c r="AJ235" s="354"/>
      <c r="AK235" s="354"/>
      <c r="AL235" s="354"/>
      <c r="AM235" s="354"/>
      <c r="AN235" s="354"/>
      <c r="AO235" s="354"/>
      <c r="AP235" s="354"/>
      <c r="AQ235" s="354"/>
      <c r="AR235" s="354"/>
      <c r="AS235" s="354"/>
      <c r="AT235" s="354"/>
      <c r="AU235" s="354"/>
      <c r="AV235" s="354"/>
      <c r="AW235" s="352"/>
      <c r="AX235" s="352"/>
      <c r="AY235" s="354"/>
      <c r="AZ235" s="354"/>
      <c r="BA235" s="354"/>
      <c r="BB235" s="354"/>
      <c r="BC235" s="354"/>
      <c r="BD235" s="354"/>
      <c r="BE235" s="354"/>
      <c r="BF235" s="354"/>
      <c r="BG235" s="354"/>
      <c r="BH235" s="354"/>
      <c r="BI235" s="354"/>
      <c r="BJ235" s="354"/>
      <c r="BK235" s="354"/>
      <c r="BL235" s="354"/>
      <c r="BM235" s="352"/>
      <c r="BN235" s="352"/>
      <c r="BO235" s="354"/>
      <c r="BP235" s="354"/>
      <c r="BQ235" s="354"/>
      <c r="BR235" s="354"/>
      <c r="BS235" s="354"/>
      <c r="BT235" s="354"/>
      <c r="BU235" s="354"/>
      <c r="BV235" s="354"/>
      <c r="BW235" s="354"/>
      <c r="BX235" s="354"/>
      <c r="BY235" s="354"/>
      <c r="BZ235" s="354"/>
      <c r="CA235" s="354"/>
    </row>
    <row r="236" spans="1:79" s="364" customFormat="1" x14ac:dyDescent="0.3">
      <c r="A236" s="352"/>
      <c r="B236" s="352"/>
      <c r="C236" s="354"/>
      <c r="D236" s="354"/>
      <c r="E236" s="354"/>
      <c r="F236" s="354"/>
      <c r="G236" s="354"/>
      <c r="H236" s="354"/>
      <c r="I236" s="354"/>
      <c r="J236" s="354"/>
      <c r="K236" s="354"/>
      <c r="L236" s="354"/>
      <c r="M236" s="354"/>
      <c r="N236" s="354"/>
      <c r="O236" s="354"/>
      <c r="P236" s="354"/>
      <c r="Q236" s="352"/>
      <c r="R236" s="352"/>
      <c r="S236" s="354"/>
      <c r="T236" s="354"/>
      <c r="U236" s="354"/>
      <c r="V236" s="354"/>
      <c r="W236" s="354"/>
      <c r="X236" s="354"/>
      <c r="Y236" s="354"/>
      <c r="Z236" s="354"/>
      <c r="AA236" s="354"/>
      <c r="AB236" s="354"/>
      <c r="AC236" s="354"/>
      <c r="AD236" s="354"/>
      <c r="AE236" s="354"/>
      <c r="AF236" s="354"/>
      <c r="AG236" s="352"/>
      <c r="AH236" s="352"/>
      <c r="AI236" s="354"/>
      <c r="AJ236" s="354"/>
      <c r="AK236" s="354"/>
      <c r="AL236" s="354"/>
      <c r="AM236" s="354"/>
      <c r="AN236" s="354"/>
      <c r="AO236" s="354"/>
      <c r="AP236" s="354"/>
      <c r="AQ236" s="354"/>
      <c r="AR236" s="354"/>
      <c r="AS236" s="354"/>
      <c r="AT236" s="354"/>
      <c r="AU236" s="354"/>
      <c r="AV236" s="354"/>
      <c r="AW236" s="352"/>
      <c r="AX236" s="352"/>
      <c r="AY236" s="354"/>
      <c r="AZ236" s="354"/>
      <c r="BA236" s="354"/>
      <c r="BB236" s="354"/>
      <c r="BC236" s="354"/>
      <c r="BD236" s="354"/>
      <c r="BE236" s="354"/>
      <c r="BF236" s="354"/>
      <c r="BG236" s="354"/>
      <c r="BH236" s="354"/>
      <c r="BI236" s="354"/>
      <c r="BJ236" s="354"/>
      <c r="BK236" s="354"/>
      <c r="BL236" s="354"/>
      <c r="BM236" s="352"/>
      <c r="BN236" s="352"/>
      <c r="BO236" s="354"/>
      <c r="BP236" s="354"/>
      <c r="BQ236" s="354"/>
      <c r="BR236" s="354"/>
      <c r="BS236" s="354"/>
      <c r="BT236" s="354"/>
      <c r="BU236" s="354"/>
      <c r="BV236" s="354"/>
      <c r="BW236" s="354"/>
      <c r="BX236" s="354"/>
      <c r="BY236" s="354"/>
      <c r="BZ236" s="354"/>
      <c r="CA236" s="354"/>
    </row>
    <row r="239" spans="1:79" s="391" customFormat="1" x14ac:dyDescent="0.3">
      <c r="A239" s="352"/>
      <c r="B239" s="352"/>
      <c r="C239" s="354"/>
      <c r="D239" s="354"/>
      <c r="E239" s="354"/>
      <c r="F239" s="354"/>
      <c r="G239" s="354"/>
      <c r="H239" s="354"/>
      <c r="I239" s="354"/>
      <c r="J239" s="354"/>
      <c r="K239" s="354"/>
      <c r="L239" s="354"/>
      <c r="M239" s="354"/>
      <c r="N239" s="354"/>
      <c r="O239" s="354"/>
      <c r="P239" s="354"/>
      <c r="Q239" s="352"/>
      <c r="R239" s="352"/>
      <c r="S239" s="354"/>
      <c r="T239" s="354"/>
      <c r="U239" s="354"/>
      <c r="V239" s="354"/>
      <c r="W239" s="354"/>
      <c r="X239" s="354"/>
      <c r="Y239" s="354"/>
      <c r="Z239" s="354"/>
      <c r="AA239" s="354"/>
      <c r="AB239" s="354"/>
      <c r="AC239" s="354"/>
      <c r="AD239" s="354"/>
      <c r="AE239" s="354"/>
      <c r="AF239" s="354"/>
      <c r="AG239" s="352"/>
      <c r="AH239" s="352"/>
      <c r="AI239" s="354"/>
      <c r="AJ239" s="354"/>
      <c r="AK239" s="354"/>
      <c r="AL239" s="354"/>
      <c r="AM239" s="354"/>
      <c r="AN239" s="354"/>
      <c r="AO239" s="354"/>
      <c r="AP239" s="354"/>
      <c r="AQ239" s="354"/>
      <c r="AR239" s="354"/>
      <c r="AS239" s="354"/>
      <c r="AT239" s="354"/>
      <c r="AU239" s="354"/>
      <c r="AV239" s="354"/>
      <c r="AW239" s="352"/>
      <c r="AX239" s="352"/>
      <c r="AY239" s="354"/>
      <c r="AZ239" s="354"/>
      <c r="BA239" s="354"/>
      <c r="BB239" s="354"/>
      <c r="BC239" s="354"/>
      <c r="BD239" s="354"/>
      <c r="BE239" s="354"/>
      <c r="BF239" s="354"/>
      <c r="BG239" s="354"/>
      <c r="BH239" s="354"/>
      <c r="BI239" s="354"/>
      <c r="BJ239" s="354"/>
      <c r="BK239" s="354"/>
      <c r="BL239" s="354"/>
      <c r="BM239" s="352"/>
      <c r="BN239" s="352"/>
      <c r="BO239" s="354"/>
      <c r="BP239" s="354"/>
      <c r="BQ239" s="354"/>
      <c r="BR239" s="354"/>
      <c r="BS239" s="354"/>
      <c r="BT239" s="354"/>
      <c r="BU239" s="354"/>
      <c r="BV239" s="354"/>
      <c r="BW239" s="354"/>
      <c r="BX239" s="354"/>
      <c r="BY239" s="354"/>
      <c r="BZ239" s="354"/>
      <c r="CA239" s="354"/>
    </row>
    <row r="243" spans="1:79" ht="18" customHeight="1" x14ac:dyDescent="0.3"/>
    <row r="244" spans="1:79" ht="20.25" customHeight="1" x14ac:dyDescent="0.3"/>
    <row r="245" spans="1:79" s="364" customFormat="1" ht="20.25" customHeight="1" x14ac:dyDescent="0.3">
      <c r="A245" s="352"/>
      <c r="B245" s="352"/>
      <c r="C245" s="354"/>
      <c r="D245" s="354"/>
      <c r="E245" s="354"/>
      <c r="F245" s="354"/>
      <c r="G245" s="354"/>
      <c r="H245" s="354"/>
      <c r="I245" s="354"/>
      <c r="J245" s="354"/>
      <c r="K245" s="354"/>
      <c r="L245" s="354"/>
      <c r="M245" s="354"/>
      <c r="N245" s="354"/>
      <c r="O245" s="354"/>
      <c r="P245" s="354"/>
      <c r="Q245" s="352"/>
      <c r="R245" s="352"/>
      <c r="S245" s="354"/>
      <c r="T245" s="354"/>
      <c r="U245" s="354"/>
      <c r="V245" s="354"/>
      <c r="W245" s="354"/>
      <c r="X245" s="354"/>
      <c r="Y245" s="354"/>
      <c r="Z245" s="354"/>
      <c r="AA245" s="354"/>
      <c r="AB245" s="354"/>
      <c r="AC245" s="354"/>
      <c r="AD245" s="354"/>
      <c r="AE245" s="354"/>
      <c r="AF245" s="354"/>
      <c r="AG245" s="352"/>
      <c r="AH245" s="352"/>
      <c r="AI245" s="354"/>
      <c r="AJ245" s="354"/>
      <c r="AK245" s="354"/>
      <c r="AL245" s="354"/>
      <c r="AM245" s="354"/>
      <c r="AN245" s="354"/>
      <c r="AO245" s="354"/>
      <c r="AP245" s="354"/>
      <c r="AQ245" s="354"/>
      <c r="AR245" s="354"/>
      <c r="AS245" s="354"/>
      <c r="AT245" s="354"/>
      <c r="AU245" s="354"/>
      <c r="AV245" s="354"/>
      <c r="AW245" s="352"/>
      <c r="AX245" s="352"/>
      <c r="AY245" s="354"/>
      <c r="AZ245" s="354"/>
      <c r="BA245" s="354"/>
      <c r="BB245" s="354"/>
      <c r="BC245" s="354"/>
      <c r="BD245" s="354"/>
      <c r="BE245" s="354"/>
      <c r="BF245" s="354"/>
      <c r="BG245" s="354"/>
      <c r="BH245" s="354"/>
      <c r="BI245" s="354"/>
      <c r="BJ245" s="354"/>
      <c r="BK245" s="354"/>
      <c r="BL245" s="354"/>
      <c r="BM245" s="352"/>
      <c r="BN245" s="352"/>
      <c r="BO245" s="354"/>
      <c r="BP245" s="354"/>
      <c r="BQ245" s="354"/>
      <c r="BR245" s="354"/>
      <c r="BS245" s="354"/>
      <c r="BT245" s="354"/>
      <c r="BU245" s="354"/>
      <c r="BV245" s="354"/>
      <c r="BW245" s="354"/>
      <c r="BX245" s="354"/>
      <c r="BY245" s="354"/>
      <c r="BZ245" s="354"/>
      <c r="CA245" s="354"/>
    </row>
    <row r="246" spans="1:79" s="364" customFormat="1" x14ac:dyDescent="0.3">
      <c r="A246" s="352"/>
      <c r="B246" s="352"/>
      <c r="C246" s="354"/>
      <c r="D246" s="354"/>
      <c r="E246" s="354"/>
      <c r="F246" s="354"/>
      <c r="G246" s="354"/>
      <c r="H246" s="354"/>
      <c r="I246" s="354"/>
      <c r="J246" s="354"/>
      <c r="K246" s="354"/>
      <c r="L246" s="354"/>
      <c r="M246" s="354"/>
      <c r="N246" s="354"/>
      <c r="O246" s="354"/>
      <c r="P246" s="354"/>
      <c r="Q246" s="352"/>
      <c r="R246" s="352"/>
      <c r="S246" s="354"/>
      <c r="T246" s="354"/>
      <c r="U246" s="354"/>
      <c r="V246" s="354"/>
      <c r="W246" s="354"/>
      <c r="X246" s="354"/>
      <c r="Y246" s="354"/>
      <c r="Z246" s="354"/>
      <c r="AA246" s="354"/>
      <c r="AB246" s="354"/>
      <c r="AC246" s="354"/>
      <c r="AD246" s="354"/>
      <c r="AE246" s="354"/>
      <c r="AF246" s="354"/>
      <c r="AG246" s="352"/>
      <c r="AH246" s="352"/>
      <c r="AI246" s="354"/>
      <c r="AJ246" s="354"/>
      <c r="AK246" s="354"/>
      <c r="AL246" s="354"/>
      <c r="AM246" s="354"/>
      <c r="AN246" s="354"/>
      <c r="AO246" s="354"/>
      <c r="AP246" s="354"/>
      <c r="AQ246" s="354"/>
      <c r="AR246" s="354"/>
      <c r="AS246" s="354"/>
      <c r="AT246" s="354"/>
      <c r="AU246" s="354"/>
      <c r="AV246" s="354"/>
      <c r="AW246" s="352"/>
      <c r="AX246" s="352"/>
      <c r="AY246" s="354"/>
      <c r="AZ246" s="354"/>
      <c r="BA246" s="354"/>
      <c r="BB246" s="354"/>
      <c r="BC246" s="354"/>
      <c r="BD246" s="354"/>
      <c r="BE246" s="354"/>
      <c r="BF246" s="354"/>
      <c r="BG246" s="354"/>
      <c r="BH246" s="354"/>
      <c r="BI246" s="354"/>
      <c r="BJ246" s="354"/>
      <c r="BK246" s="354"/>
      <c r="BL246" s="354"/>
      <c r="BM246" s="352"/>
      <c r="BN246" s="352"/>
      <c r="BO246" s="354"/>
      <c r="BP246" s="354"/>
      <c r="BQ246" s="354"/>
      <c r="BR246" s="354"/>
      <c r="BS246" s="354"/>
      <c r="BT246" s="354"/>
      <c r="BU246" s="354"/>
      <c r="BV246" s="354"/>
      <c r="BW246" s="354"/>
      <c r="BX246" s="354"/>
      <c r="BY246" s="354"/>
      <c r="BZ246" s="354"/>
      <c r="CA246" s="354"/>
    </row>
    <row r="247" spans="1:79" s="364" customFormat="1" x14ac:dyDescent="0.3">
      <c r="A247" s="352"/>
      <c r="B247" s="352"/>
      <c r="C247" s="354"/>
      <c r="D247" s="354"/>
      <c r="E247" s="354"/>
      <c r="F247" s="354"/>
      <c r="G247" s="354"/>
      <c r="H247" s="354"/>
      <c r="I247" s="354"/>
      <c r="J247" s="354"/>
      <c r="K247" s="354"/>
      <c r="L247" s="354"/>
      <c r="M247" s="354"/>
      <c r="N247" s="354"/>
      <c r="O247" s="354"/>
      <c r="P247" s="354"/>
      <c r="Q247" s="352"/>
      <c r="R247" s="352"/>
      <c r="S247" s="354"/>
      <c r="T247" s="354"/>
      <c r="U247" s="354"/>
      <c r="V247" s="354"/>
      <c r="W247" s="354"/>
      <c r="X247" s="354"/>
      <c r="Y247" s="354"/>
      <c r="Z247" s="354"/>
      <c r="AA247" s="354"/>
      <c r="AB247" s="354"/>
      <c r="AC247" s="354"/>
      <c r="AD247" s="354"/>
      <c r="AE247" s="354"/>
      <c r="AF247" s="354"/>
      <c r="AG247" s="352"/>
      <c r="AH247" s="352"/>
      <c r="AI247" s="354"/>
      <c r="AJ247" s="354"/>
      <c r="AK247" s="354"/>
      <c r="AL247" s="354"/>
      <c r="AM247" s="354"/>
      <c r="AN247" s="354"/>
      <c r="AO247" s="354"/>
      <c r="AP247" s="354"/>
      <c r="AQ247" s="354"/>
      <c r="AR247" s="354"/>
      <c r="AS247" s="354"/>
      <c r="AT247" s="354"/>
      <c r="AU247" s="354"/>
      <c r="AV247" s="354"/>
      <c r="AW247" s="352"/>
      <c r="AX247" s="352"/>
      <c r="AY247" s="354"/>
      <c r="AZ247" s="354"/>
      <c r="BA247" s="354"/>
      <c r="BB247" s="354"/>
      <c r="BC247" s="354"/>
      <c r="BD247" s="354"/>
      <c r="BE247" s="354"/>
      <c r="BF247" s="354"/>
      <c r="BG247" s="354"/>
      <c r="BH247" s="354"/>
      <c r="BI247" s="354"/>
      <c r="BJ247" s="354"/>
      <c r="BK247" s="354"/>
      <c r="BL247" s="354"/>
      <c r="BM247" s="352"/>
      <c r="BN247" s="352"/>
      <c r="BO247" s="354"/>
      <c r="BP247" s="354"/>
      <c r="BQ247" s="354"/>
      <c r="BR247" s="354"/>
      <c r="BS247" s="354"/>
      <c r="BT247" s="354"/>
      <c r="BU247" s="354"/>
      <c r="BV247" s="354"/>
      <c r="BW247" s="354"/>
      <c r="BX247" s="354"/>
      <c r="BY247" s="354"/>
      <c r="BZ247" s="354"/>
      <c r="CA247" s="354"/>
    </row>
    <row r="248" spans="1:79" s="364" customFormat="1" x14ac:dyDescent="0.3">
      <c r="A248" s="352"/>
      <c r="B248" s="352"/>
      <c r="C248" s="354"/>
      <c r="D248" s="354"/>
      <c r="E248" s="354"/>
      <c r="F248" s="354"/>
      <c r="G248" s="354"/>
      <c r="H248" s="354"/>
      <c r="I248" s="354"/>
      <c r="J248" s="354"/>
      <c r="K248" s="354"/>
      <c r="L248" s="354"/>
      <c r="M248" s="354"/>
      <c r="N248" s="354"/>
      <c r="O248" s="354"/>
      <c r="P248" s="354"/>
      <c r="Q248" s="352"/>
      <c r="R248" s="352"/>
      <c r="S248" s="354"/>
      <c r="T248" s="354"/>
      <c r="U248" s="354"/>
      <c r="V248" s="354"/>
      <c r="W248" s="354"/>
      <c r="X248" s="354"/>
      <c r="Y248" s="354"/>
      <c r="Z248" s="354"/>
      <c r="AA248" s="354"/>
      <c r="AB248" s="354"/>
      <c r="AC248" s="354"/>
      <c r="AD248" s="354"/>
      <c r="AE248" s="354"/>
      <c r="AF248" s="354"/>
      <c r="AG248" s="352"/>
      <c r="AH248" s="352"/>
      <c r="AI248" s="354"/>
      <c r="AJ248" s="354"/>
      <c r="AK248" s="354"/>
      <c r="AL248" s="354"/>
      <c r="AM248" s="354"/>
      <c r="AN248" s="354"/>
      <c r="AO248" s="354"/>
      <c r="AP248" s="354"/>
      <c r="AQ248" s="354"/>
      <c r="AR248" s="354"/>
      <c r="AS248" s="354"/>
      <c r="AT248" s="354"/>
      <c r="AU248" s="354"/>
      <c r="AV248" s="354"/>
      <c r="AW248" s="352"/>
      <c r="AX248" s="352"/>
      <c r="AY248" s="354"/>
      <c r="AZ248" s="354"/>
      <c r="BA248" s="354"/>
      <c r="BB248" s="354"/>
      <c r="BC248" s="354"/>
      <c r="BD248" s="354"/>
      <c r="BE248" s="354"/>
      <c r="BF248" s="354"/>
      <c r="BG248" s="354"/>
      <c r="BH248" s="354"/>
      <c r="BI248" s="354"/>
      <c r="BJ248" s="354"/>
      <c r="BK248" s="354"/>
      <c r="BL248" s="354"/>
      <c r="BM248" s="352"/>
      <c r="BN248" s="352"/>
      <c r="BO248" s="354"/>
      <c r="BP248" s="354"/>
      <c r="BQ248" s="354"/>
      <c r="BR248" s="354"/>
      <c r="BS248" s="354"/>
      <c r="BT248" s="354"/>
      <c r="BU248" s="354"/>
      <c r="BV248" s="354"/>
      <c r="BW248" s="354"/>
      <c r="BX248" s="354"/>
      <c r="BY248" s="354"/>
      <c r="BZ248" s="354"/>
      <c r="CA248" s="354"/>
    </row>
    <row r="251" spans="1:79" s="391" customFormat="1" ht="20.25" customHeight="1" x14ac:dyDescent="0.3">
      <c r="A251" s="352"/>
      <c r="B251" s="352"/>
      <c r="C251" s="354"/>
      <c r="D251" s="354"/>
      <c r="E251" s="354"/>
      <c r="F251" s="354"/>
      <c r="G251" s="354"/>
      <c r="H251" s="354"/>
      <c r="I251" s="354"/>
      <c r="J251" s="354"/>
      <c r="K251" s="354"/>
      <c r="L251" s="354"/>
      <c r="M251" s="354"/>
      <c r="N251" s="354"/>
      <c r="O251" s="354"/>
      <c r="P251" s="354"/>
      <c r="Q251" s="352"/>
      <c r="R251" s="352"/>
      <c r="S251" s="354"/>
      <c r="T251" s="354"/>
      <c r="U251" s="354"/>
      <c r="V251" s="354"/>
      <c r="W251" s="354"/>
      <c r="X251" s="354"/>
      <c r="Y251" s="354"/>
      <c r="Z251" s="354"/>
      <c r="AA251" s="354"/>
      <c r="AB251" s="354"/>
      <c r="AC251" s="354"/>
      <c r="AD251" s="354"/>
      <c r="AE251" s="354"/>
      <c r="AF251" s="354"/>
      <c r="AG251" s="352"/>
      <c r="AH251" s="352"/>
      <c r="AI251" s="354"/>
      <c r="AJ251" s="354"/>
      <c r="AK251" s="354"/>
      <c r="AL251" s="354"/>
      <c r="AM251" s="354"/>
      <c r="AN251" s="354"/>
      <c r="AO251" s="354"/>
      <c r="AP251" s="354"/>
      <c r="AQ251" s="354"/>
      <c r="AR251" s="354"/>
      <c r="AS251" s="354"/>
      <c r="AT251" s="354"/>
      <c r="AU251" s="354"/>
      <c r="AV251" s="354"/>
      <c r="AW251" s="352"/>
      <c r="AX251" s="352"/>
      <c r="AY251" s="354"/>
      <c r="AZ251" s="354"/>
      <c r="BA251" s="354"/>
      <c r="BB251" s="354"/>
      <c r="BC251" s="354"/>
      <c r="BD251" s="354"/>
      <c r="BE251" s="354"/>
      <c r="BF251" s="354"/>
      <c r="BG251" s="354"/>
      <c r="BH251" s="354"/>
      <c r="BI251" s="354"/>
      <c r="BJ251" s="354"/>
      <c r="BK251" s="354"/>
      <c r="BL251" s="354"/>
      <c r="BM251" s="352"/>
      <c r="BN251" s="352"/>
      <c r="BO251" s="354"/>
      <c r="BP251" s="354"/>
      <c r="BQ251" s="354"/>
      <c r="BR251" s="354"/>
      <c r="BS251" s="354"/>
      <c r="BT251" s="354"/>
      <c r="BU251" s="354"/>
      <c r="BV251" s="354"/>
      <c r="BW251" s="354"/>
      <c r="BX251" s="354"/>
      <c r="BY251" s="354"/>
      <c r="BZ251" s="354"/>
      <c r="CA251" s="354"/>
    </row>
    <row r="252" spans="1:79" ht="16.5" customHeight="1" x14ac:dyDescent="0.3"/>
    <row r="253" spans="1:79" ht="25.5" customHeight="1" x14ac:dyDescent="0.3"/>
    <row r="254" spans="1:79" ht="29.25" customHeight="1" x14ac:dyDescent="0.3"/>
    <row r="255" spans="1:79" ht="60" customHeight="1" x14ac:dyDescent="0.3"/>
    <row r="256" spans="1:79" ht="20.25" customHeight="1" x14ac:dyDescent="0.3"/>
    <row r="257" spans="1:79" s="364" customFormat="1" ht="20.25" customHeight="1" x14ac:dyDescent="0.3">
      <c r="A257" s="352"/>
      <c r="B257" s="352"/>
      <c r="C257" s="354"/>
      <c r="D257" s="354"/>
      <c r="E257" s="354"/>
      <c r="F257" s="354"/>
      <c r="G257" s="354"/>
      <c r="H257" s="354"/>
      <c r="I257" s="354"/>
      <c r="J257" s="354"/>
      <c r="K257" s="354"/>
      <c r="L257" s="354"/>
      <c r="M257" s="354"/>
      <c r="N257" s="354"/>
      <c r="O257" s="354"/>
      <c r="P257" s="354"/>
      <c r="Q257" s="352"/>
      <c r="R257" s="352"/>
      <c r="S257" s="354"/>
      <c r="T257" s="354"/>
      <c r="U257" s="354"/>
      <c r="V257" s="354"/>
      <c r="W257" s="354"/>
      <c r="X257" s="354"/>
      <c r="Y257" s="354"/>
      <c r="Z257" s="354"/>
      <c r="AA257" s="354"/>
      <c r="AB257" s="354"/>
      <c r="AC257" s="354"/>
      <c r="AD257" s="354"/>
      <c r="AE257" s="354"/>
      <c r="AF257" s="354"/>
      <c r="AG257" s="352"/>
      <c r="AH257" s="352"/>
      <c r="AI257" s="354"/>
      <c r="AJ257" s="354"/>
      <c r="AK257" s="354"/>
      <c r="AL257" s="354"/>
      <c r="AM257" s="354"/>
      <c r="AN257" s="354"/>
      <c r="AO257" s="354"/>
      <c r="AP257" s="354"/>
      <c r="AQ257" s="354"/>
      <c r="AR257" s="354"/>
      <c r="AS257" s="354"/>
      <c r="AT257" s="354"/>
      <c r="AU257" s="354"/>
      <c r="AV257" s="354"/>
      <c r="AW257" s="352"/>
      <c r="AX257" s="352"/>
      <c r="AY257" s="354"/>
      <c r="AZ257" s="354"/>
      <c r="BA257" s="354"/>
      <c r="BB257" s="354"/>
      <c r="BC257" s="354"/>
      <c r="BD257" s="354"/>
      <c r="BE257" s="354"/>
      <c r="BF257" s="354"/>
      <c r="BG257" s="354"/>
      <c r="BH257" s="354"/>
      <c r="BI257" s="354"/>
      <c r="BJ257" s="354"/>
      <c r="BK257" s="354"/>
      <c r="BL257" s="354"/>
      <c r="BM257" s="352"/>
      <c r="BN257" s="352"/>
      <c r="BO257" s="354"/>
      <c r="BP257" s="354"/>
      <c r="BQ257" s="354"/>
      <c r="BR257" s="354"/>
      <c r="BS257" s="354"/>
      <c r="BT257" s="354"/>
      <c r="BU257" s="354"/>
      <c r="BV257" s="354"/>
      <c r="BW257" s="354"/>
      <c r="BX257" s="354"/>
      <c r="BY257" s="354"/>
      <c r="BZ257" s="354"/>
      <c r="CA257" s="354"/>
    </row>
    <row r="258" spans="1:79" s="364" customFormat="1" x14ac:dyDescent="0.3">
      <c r="A258" s="352"/>
      <c r="B258" s="352"/>
      <c r="C258" s="354"/>
      <c r="D258" s="354"/>
      <c r="E258" s="354"/>
      <c r="F258" s="354"/>
      <c r="G258" s="354"/>
      <c r="H258" s="354"/>
      <c r="I258" s="354"/>
      <c r="J258" s="354"/>
      <c r="K258" s="354"/>
      <c r="L258" s="354"/>
      <c r="M258" s="354"/>
      <c r="N258" s="354"/>
      <c r="O258" s="354"/>
      <c r="P258" s="354"/>
      <c r="Q258" s="352"/>
      <c r="R258" s="352"/>
      <c r="S258" s="354"/>
      <c r="T258" s="354"/>
      <c r="U258" s="354"/>
      <c r="V258" s="354"/>
      <c r="W258" s="354"/>
      <c r="X258" s="354"/>
      <c r="Y258" s="354"/>
      <c r="Z258" s="354"/>
      <c r="AA258" s="354"/>
      <c r="AB258" s="354"/>
      <c r="AC258" s="354"/>
      <c r="AD258" s="354"/>
      <c r="AE258" s="354"/>
      <c r="AF258" s="354"/>
      <c r="AG258" s="352"/>
      <c r="AH258" s="352"/>
      <c r="AI258" s="354"/>
      <c r="AJ258" s="354"/>
      <c r="AK258" s="354"/>
      <c r="AL258" s="354"/>
      <c r="AM258" s="354"/>
      <c r="AN258" s="354"/>
      <c r="AO258" s="354"/>
      <c r="AP258" s="354"/>
      <c r="AQ258" s="354"/>
      <c r="AR258" s="354"/>
      <c r="AS258" s="354"/>
      <c r="AT258" s="354"/>
      <c r="AU258" s="354"/>
      <c r="AV258" s="354"/>
      <c r="AW258" s="352"/>
      <c r="AX258" s="352"/>
      <c r="AY258" s="354"/>
      <c r="AZ258" s="354"/>
      <c r="BA258" s="354"/>
      <c r="BB258" s="354"/>
      <c r="BC258" s="354"/>
      <c r="BD258" s="354"/>
      <c r="BE258" s="354"/>
      <c r="BF258" s="354"/>
      <c r="BG258" s="354"/>
      <c r="BH258" s="354"/>
      <c r="BI258" s="354"/>
      <c r="BJ258" s="354"/>
      <c r="BK258" s="354"/>
      <c r="BL258" s="354"/>
      <c r="BM258" s="352"/>
      <c r="BN258" s="352"/>
      <c r="BO258" s="354"/>
      <c r="BP258" s="354"/>
      <c r="BQ258" s="354"/>
      <c r="BR258" s="354"/>
      <c r="BS258" s="354"/>
      <c r="BT258" s="354"/>
      <c r="BU258" s="354"/>
      <c r="BV258" s="354"/>
      <c r="BW258" s="354"/>
      <c r="BX258" s="354"/>
      <c r="BY258" s="354"/>
      <c r="BZ258" s="354"/>
      <c r="CA258" s="354"/>
    </row>
    <row r="259" spans="1:79" s="364" customFormat="1" x14ac:dyDescent="0.3">
      <c r="A259" s="352"/>
      <c r="B259" s="352"/>
      <c r="C259" s="354"/>
      <c r="D259" s="354"/>
      <c r="E259" s="354"/>
      <c r="F259" s="354"/>
      <c r="G259" s="354"/>
      <c r="H259" s="354"/>
      <c r="I259" s="354"/>
      <c r="J259" s="354"/>
      <c r="K259" s="354"/>
      <c r="L259" s="354"/>
      <c r="M259" s="354"/>
      <c r="N259" s="354"/>
      <c r="O259" s="354"/>
      <c r="P259" s="354"/>
      <c r="Q259" s="352"/>
      <c r="R259" s="352"/>
      <c r="S259" s="354"/>
      <c r="T259" s="354"/>
      <c r="U259" s="354"/>
      <c r="V259" s="354"/>
      <c r="W259" s="354"/>
      <c r="X259" s="354"/>
      <c r="Y259" s="354"/>
      <c r="Z259" s="354"/>
      <c r="AA259" s="354"/>
      <c r="AB259" s="354"/>
      <c r="AC259" s="354"/>
      <c r="AD259" s="354"/>
      <c r="AE259" s="354"/>
      <c r="AF259" s="354"/>
      <c r="AG259" s="352"/>
      <c r="AH259" s="352"/>
      <c r="AI259" s="354"/>
      <c r="AJ259" s="354"/>
      <c r="AK259" s="354"/>
      <c r="AL259" s="354"/>
      <c r="AM259" s="354"/>
      <c r="AN259" s="354"/>
      <c r="AO259" s="354"/>
      <c r="AP259" s="354"/>
      <c r="AQ259" s="354"/>
      <c r="AR259" s="354"/>
      <c r="AS259" s="354"/>
      <c r="AT259" s="354"/>
      <c r="AU259" s="354"/>
      <c r="AV259" s="354"/>
      <c r="AW259" s="352"/>
      <c r="AX259" s="352"/>
      <c r="AY259" s="354"/>
      <c r="AZ259" s="354"/>
      <c r="BA259" s="354"/>
      <c r="BB259" s="354"/>
      <c r="BC259" s="354"/>
      <c r="BD259" s="354"/>
      <c r="BE259" s="354"/>
      <c r="BF259" s="354"/>
      <c r="BG259" s="354"/>
      <c r="BH259" s="354"/>
      <c r="BI259" s="354"/>
      <c r="BJ259" s="354"/>
      <c r="BK259" s="354"/>
      <c r="BL259" s="354"/>
      <c r="BM259" s="352"/>
      <c r="BN259" s="352"/>
      <c r="BO259" s="354"/>
      <c r="BP259" s="354"/>
      <c r="BQ259" s="354"/>
      <c r="BR259" s="354"/>
      <c r="BS259" s="354"/>
      <c r="BT259" s="354"/>
      <c r="BU259" s="354"/>
      <c r="BV259" s="354"/>
      <c r="BW259" s="354"/>
      <c r="BX259" s="354"/>
      <c r="BY259" s="354"/>
      <c r="BZ259" s="354"/>
      <c r="CA259" s="354"/>
    </row>
    <row r="260" spans="1:79" s="364" customFormat="1" x14ac:dyDescent="0.3">
      <c r="A260" s="352"/>
      <c r="B260" s="352"/>
      <c r="C260" s="354"/>
      <c r="D260" s="354"/>
      <c r="E260" s="354"/>
      <c r="F260" s="354"/>
      <c r="G260" s="354"/>
      <c r="H260" s="354"/>
      <c r="I260" s="354"/>
      <c r="J260" s="354"/>
      <c r="K260" s="354"/>
      <c r="L260" s="354"/>
      <c r="M260" s="354"/>
      <c r="N260" s="354"/>
      <c r="O260" s="354"/>
      <c r="P260" s="354"/>
      <c r="Q260" s="352"/>
      <c r="R260" s="352"/>
      <c r="S260" s="354"/>
      <c r="T260" s="354"/>
      <c r="U260" s="354"/>
      <c r="V260" s="354"/>
      <c r="W260" s="354"/>
      <c r="X260" s="354"/>
      <c r="Y260" s="354"/>
      <c r="Z260" s="354"/>
      <c r="AA260" s="354"/>
      <c r="AB260" s="354"/>
      <c r="AC260" s="354"/>
      <c r="AD260" s="354"/>
      <c r="AE260" s="354"/>
      <c r="AF260" s="354"/>
      <c r="AG260" s="352"/>
      <c r="AH260" s="352"/>
      <c r="AI260" s="354"/>
      <c r="AJ260" s="354"/>
      <c r="AK260" s="354"/>
      <c r="AL260" s="354"/>
      <c r="AM260" s="354"/>
      <c r="AN260" s="354"/>
      <c r="AO260" s="354"/>
      <c r="AP260" s="354"/>
      <c r="AQ260" s="354"/>
      <c r="AR260" s="354"/>
      <c r="AS260" s="354"/>
      <c r="AT260" s="354"/>
      <c r="AU260" s="354"/>
      <c r="AV260" s="354"/>
      <c r="AW260" s="352"/>
      <c r="AX260" s="352"/>
      <c r="AY260" s="354"/>
      <c r="AZ260" s="354"/>
      <c r="BA260" s="354"/>
      <c r="BB260" s="354"/>
      <c r="BC260" s="354"/>
      <c r="BD260" s="354"/>
      <c r="BE260" s="354"/>
      <c r="BF260" s="354"/>
      <c r="BG260" s="354"/>
      <c r="BH260" s="354"/>
      <c r="BI260" s="354"/>
      <c r="BJ260" s="354"/>
      <c r="BK260" s="354"/>
      <c r="BL260" s="354"/>
      <c r="BM260" s="352"/>
      <c r="BN260" s="352"/>
      <c r="BO260" s="354"/>
      <c r="BP260" s="354"/>
      <c r="BQ260" s="354"/>
      <c r="BR260" s="354"/>
      <c r="BS260" s="354"/>
      <c r="BT260" s="354"/>
      <c r="BU260" s="354"/>
      <c r="BV260" s="354"/>
      <c r="BW260" s="354"/>
      <c r="BX260" s="354"/>
      <c r="BY260" s="354"/>
      <c r="BZ260" s="354"/>
      <c r="CA260" s="354"/>
    </row>
    <row r="263" spans="1:79" s="391" customFormat="1" x14ac:dyDescent="0.3">
      <c r="A263" s="352"/>
      <c r="B263" s="352"/>
      <c r="C263" s="354"/>
      <c r="D263" s="354"/>
      <c r="E263" s="354"/>
      <c r="F263" s="354"/>
      <c r="G263" s="354"/>
      <c r="H263" s="354"/>
      <c r="I263" s="354"/>
      <c r="J263" s="354"/>
      <c r="K263" s="354"/>
      <c r="L263" s="354"/>
      <c r="M263" s="354"/>
      <c r="N263" s="354"/>
      <c r="O263" s="354"/>
      <c r="P263" s="354"/>
      <c r="Q263" s="352"/>
      <c r="R263" s="352"/>
      <c r="S263" s="354"/>
      <c r="T263" s="354"/>
      <c r="U263" s="354"/>
      <c r="V263" s="354"/>
      <c r="W263" s="354"/>
      <c r="X263" s="354"/>
      <c r="Y263" s="354"/>
      <c r="Z263" s="354"/>
      <c r="AA263" s="354"/>
      <c r="AB263" s="354"/>
      <c r="AC263" s="354"/>
      <c r="AD263" s="354"/>
      <c r="AE263" s="354"/>
      <c r="AF263" s="354"/>
      <c r="AG263" s="352"/>
      <c r="AH263" s="352"/>
      <c r="AI263" s="354"/>
      <c r="AJ263" s="354"/>
      <c r="AK263" s="354"/>
      <c r="AL263" s="354"/>
      <c r="AM263" s="354"/>
      <c r="AN263" s="354"/>
      <c r="AO263" s="354"/>
      <c r="AP263" s="354"/>
      <c r="AQ263" s="354"/>
      <c r="AR263" s="354"/>
      <c r="AS263" s="354"/>
      <c r="AT263" s="354"/>
      <c r="AU263" s="354"/>
      <c r="AV263" s="354"/>
      <c r="AW263" s="352"/>
      <c r="AX263" s="352"/>
      <c r="AY263" s="354"/>
      <c r="AZ263" s="354"/>
      <c r="BA263" s="354"/>
      <c r="BB263" s="354"/>
      <c r="BC263" s="354"/>
      <c r="BD263" s="354"/>
      <c r="BE263" s="354"/>
      <c r="BF263" s="354"/>
      <c r="BG263" s="354"/>
      <c r="BH263" s="354"/>
      <c r="BI263" s="354"/>
      <c r="BJ263" s="354"/>
      <c r="BK263" s="354"/>
      <c r="BL263" s="354"/>
      <c r="BM263" s="352"/>
      <c r="BN263" s="352"/>
      <c r="BO263" s="354"/>
      <c r="BP263" s="354"/>
      <c r="BQ263" s="354"/>
      <c r="BR263" s="354"/>
      <c r="BS263" s="354"/>
      <c r="BT263" s="354"/>
      <c r="BU263" s="354"/>
      <c r="BV263" s="354"/>
      <c r="BW263" s="354"/>
      <c r="BX263" s="354"/>
      <c r="BY263" s="354"/>
      <c r="BZ263" s="354"/>
      <c r="CA263" s="354"/>
    </row>
    <row r="265" spans="1:79" ht="28.5" customHeight="1" x14ac:dyDescent="0.3"/>
    <row r="266" spans="1:79" ht="30.75" customHeight="1" x14ac:dyDescent="0.3"/>
    <row r="267" spans="1:79" ht="54.9" customHeight="1" x14ac:dyDescent="0.3"/>
    <row r="268" spans="1:79" ht="20.25" customHeight="1" x14ac:dyDescent="0.3"/>
    <row r="269" spans="1:79" ht="20.25" customHeight="1" x14ac:dyDescent="0.3"/>
    <row r="270" spans="1:79" s="364" customFormat="1" x14ac:dyDescent="0.3">
      <c r="A270" s="352"/>
      <c r="B270" s="352"/>
      <c r="C270" s="354"/>
      <c r="D270" s="354"/>
      <c r="E270" s="354"/>
      <c r="F270" s="354"/>
      <c r="G270" s="354"/>
      <c r="H270" s="354"/>
      <c r="I270" s="354"/>
      <c r="J270" s="354"/>
      <c r="K270" s="354"/>
      <c r="L270" s="354"/>
      <c r="M270" s="354"/>
      <c r="N270" s="354"/>
      <c r="O270" s="354"/>
      <c r="P270" s="354"/>
      <c r="Q270" s="352"/>
      <c r="R270" s="352"/>
      <c r="S270" s="354"/>
      <c r="T270" s="354"/>
      <c r="U270" s="354"/>
      <c r="V270" s="354"/>
      <c r="W270" s="354"/>
      <c r="X270" s="354"/>
      <c r="Y270" s="354"/>
      <c r="Z270" s="354"/>
      <c r="AA270" s="354"/>
      <c r="AB270" s="354"/>
      <c r="AC270" s="354"/>
      <c r="AD270" s="354"/>
      <c r="AE270" s="354"/>
      <c r="AF270" s="354"/>
      <c r="AG270" s="352"/>
      <c r="AH270" s="352"/>
      <c r="AI270" s="354"/>
      <c r="AJ270" s="354"/>
      <c r="AK270" s="354"/>
      <c r="AL270" s="354"/>
      <c r="AM270" s="354"/>
      <c r="AN270" s="354"/>
      <c r="AO270" s="354"/>
      <c r="AP270" s="354"/>
      <c r="AQ270" s="354"/>
      <c r="AR270" s="354"/>
      <c r="AS270" s="354"/>
      <c r="AT270" s="354"/>
      <c r="AU270" s="354"/>
      <c r="AV270" s="354"/>
      <c r="AW270" s="352"/>
      <c r="AX270" s="352"/>
      <c r="AY270" s="354"/>
      <c r="AZ270" s="354"/>
      <c r="BA270" s="354"/>
      <c r="BB270" s="354"/>
      <c r="BC270" s="354"/>
      <c r="BD270" s="354"/>
      <c r="BE270" s="354"/>
      <c r="BF270" s="354"/>
      <c r="BG270" s="354"/>
      <c r="BH270" s="354"/>
      <c r="BI270" s="354"/>
      <c r="BJ270" s="354"/>
      <c r="BK270" s="354"/>
      <c r="BL270" s="354"/>
      <c r="BM270" s="352"/>
      <c r="BN270" s="352"/>
      <c r="BO270" s="354"/>
      <c r="BP270" s="354"/>
      <c r="BQ270" s="354"/>
      <c r="BR270" s="354"/>
      <c r="BS270" s="354"/>
      <c r="BT270" s="354"/>
      <c r="BU270" s="354"/>
      <c r="BV270" s="354"/>
      <c r="BW270" s="354"/>
      <c r="BX270" s="354"/>
      <c r="BY270" s="354"/>
      <c r="BZ270" s="354"/>
      <c r="CA270" s="354"/>
    </row>
    <row r="271" spans="1:79" s="364" customFormat="1" x14ac:dyDescent="0.3">
      <c r="A271" s="352"/>
      <c r="B271" s="352"/>
      <c r="C271" s="354"/>
      <c r="D271" s="354"/>
      <c r="E271" s="354"/>
      <c r="F271" s="354"/>
      <c r="G271" s="354"/>
      <c r="H271" s="354"/>
      <c r="I271" s="354"/>
      <c r="J271" s="354"/>
      <c r="K271" s="354"/>
      <c r="L271" s="354"/>
      <c r="M271" s="354"/>
      <c r="N271" s="354"/>
      <c r="O271" s="354"/>
      <c r="P271" s="354"/>
      <c r="Q271" s="352"/>
      <c r="R271" s="352"/>
      <c r="S271" s="354"/>
      <c r="T271" s="354"/>
      <c r="U271" s="354"/>
      <c r="V271" s="354"/>
      <c r="W271" s="354"/>
      <c r="X271" s="354"/>
      <c r="Y271" s="354"/>
      <c r="Z271" s="354"/>
      <c r="AA271" s="354"/>
      <c r="AB271" s="354"/>
      <c r="AC271" s="354"/>
      <c r="AD271" s="354"/>
      <c r="AE271" s="354"/>
      <c r="AF271" s="354"/>
      <c r="AG271" s="352"/>
      <c r="AH271" s="352"/>
      <c r="AI271" s="354"/>
      <c r="AJ271" s="354"/>
      <c r="AK271" s="354"/>
      <c r="AL271" s="354"/>
      <c r="AM271" s="354"/>
      <c r="AN271" s="354"/>
      <c r="AO271" s="354"/>
      <c r="AP271" s="354"/>
      <c r="AQ271" s="354"/>
      <c r="AR271" s="354"/>
      <c r="AS271" s="354"/>
      <c r="AT271" s="354"/>
      <c r="AU271" s="354"/>
      <c r="AV271" s="354"/>
      <c r="AW271" s="352"/>
      <c r="AX271" s="352"/>
      <c r="AY271" s="354"/>
      <c r="AZ271" s="354"/>
      <c r="BA271" s="354"/>
      <c r="BB271" s="354"/>
      <c r="BC271" s="354"/>
      <c r="BD271" s="354"/>
      <c r="BE271" s="354"/>
      <c r="BF271" s="354"/>
      <c r="BG271" s="354"/>
      <c r="BH271" s="354"/>
      <c r="BI271" s="354"/>
      <c r="BJ271" s="354"/>
      <c r="BK271" s="354"/>
      <c r="BL271" s="354"/>
      <c r="BM271" s="352"/>
      <c r="BN271" s="352"/>
      <c r="BO271" s="354"/>
      <c r="BP271" s="354"/>
      <c r="BQ271" s="354"/>
      <c r="BR271" s="354"/>
      <c r="BS271" s="354"/>
      <c r="BT271" s="354"/>
      <c r="BU271" s="354"/>
      <c r="BV271" s="354"/>
      <c r="BW271" s="354"/>
      <c r="BX271" s="354"/>
      <c r="BY271" s="354"/>
      <c r="BZ271" s="354"/>
      <c r="CA271" s="354"/>
    </row>
    <row r="272" spans="1:79" s="364" customFormat="1" x14ac:dyDescent="0.3">
      <c r="A272" s="352"/>
      <c r="B272" s="352"/>
      <c r="C272" s="354"/>
      <c r="D272" s="354"/>
      <c r="E272" s="354"/>
      <c r="F272" s="354"/>
      <c r="G272" s="354"/>
      <c r="H272" s="354"/>
      <c r="I272" s="354"/>
      <c r="J272" s="354"/>
      <c r="K272" s="354"/>
      <c r="L272" s="354"/>
      <c r="M272" s="354"/>
      <c r="N272" s="354"/>
      <c r="O272" s="354"/>
      <c r="P272" s="354"/>
      <c r="Q272" s="352"/>
      <c r="R272" s="352"/>
      <c r="S272" s="354"/>
      <c r="T272" s="354"/>
      <c r="U272" s="354"/>
      <c r="V272" s="354"/>
      <c r="W272" s="354"/>
      <c r="X272" s="354"/>
      <c r="Y272" s="354"/>
      <c r="Z272" s="354"/>
      <c r="AA272" s="354"/>
      <c r="AB272" s="354"/>
      <c r="AC272" s="354"/>
      <c r="AD272" s="354"/>
      <c r="AE272" s="354"/>
      <c r="AF272" s="354"/>
      <c r="AG272" s="352"/>
      <c r="AH272" s="352"/>
      <c r="AI272" s="354"/>
      <c r="AJ272" s="354"/>
      <c r="AK272" s="354"/>
      <c r="AL272" s="354"/>
      <c r="AM272" s="354"/>
      <c r="AN272" s="354"/>
      <c r="AO272" s="354"/>
      <c r="AP272" s="354"/>
      <c r="AQ272" s="354"/>
      <c r="AR272" s="354"/>
      <c r="AS272" s="354"/>
      <c r="AT272" s="354"/>
      <c r="AU272" s="354"/>
      <c r="AV272" s="354"/>
      <c r="AW272" s="352"/>
      <c r="AX272" s="352"/>
      <c r="AY272" s="354"/>
      <c r="AZ272" s="354"/>
      <c r="BA272" s="354"/>
      <c r="BB272" s="354"/>
      <c r="BC272" s="354"/>
      <c r="BD272" s="354"/>
      <c r="BE272" s="354"/>
      <c r="BF272" s="354"/>
      <c r="BG272" s="354"/>
      <c r="BH272" s="354"/>
      <c r="BI272" s="354"/>
      <c r="BJ272" s="354"/>
      <c r="BK272" s="354"/>
      <c r="BL272" s="354"/>
      <c r="BM272" s="352"/>
      <c r="BN272" s="352"/>
      <c r="BO272" s="354"/>
      <c r="BP272" s="354"/>
      <c r="BQ272" s="354"/>
      <c r="BR272" s="354"/>
      <c r="BS272" s="354"/>
      <c r="BT272" s="354"/>
      <c r="BU272" s="354"/>
      <c r="BV272" s="354"/>
      <c r="BW272" s="354"/>
      <c r="BX272" s="354"/>
      <c r="BY272" s="354"/>
      <c r="BZ272" s="354"/>
      <c r="CA272" s="354"/>
    </row>
    <row r="275" spans="1:79" s="391" customFormat="1" x14ac:dyDescent="0.3">
      <c r="A275" s="352"/>
      <c r="B275" s="352"/>
      <c r="C275" s="354"/>
      <c r="D275" s="354"/>
      <c r="E275" s="354"/>
      <c r="F275" s="354"/>
      <c r="G275" s="354"/>
      <c r="H275" s="354"/>
      <c r="I275" s="354"/>
      <c r="J275" s="354"/>
      <c r="K275" s="354"/>
      <c r="L275" s="354"/>
      <c r="M275" s="354"/>
      <c r="N275" s="354"/>
      <c r="O275" s="354"/>
      <c r="P275" s="354"/>
      <c r="Q275" s="352"/>
      <c r="R275" s="352"/>
      <c r="S275" s="354"/>
      <c r="T275" s="354"/>
      <c r="U275" s="354"/>
      <c r="V275" s="354"/>
      <c r="W275" s="354"/>
      <c r="X275" s="354"/>
      <c r="Y275" s="354"/>
      <c r="Z275" s="354"/>
      <c r="AA275" s="354"/>
      <c r="AB275" s="354"/>
      <c r="AC275" s="354"/>
      <c r="AD275" s="354"/>
      <c r="AE275" s="354"/>
      <c r="AF275" s="354"/>
      <c r="AG275" s="352"/>
      <c r="AH275" s="352"/>
      <c r="AI275" s="354"/>
      <c r="AJ275" s="354"/>
      <c r="AK275" s="354"/>
      <c r="AL275" s="354"/>
      <c r="AM275" s="354"/>
      <c r="AN275" s="354"/>
      <c r="AO275" s="354"/>
      <c r="AP275" s="354"/>
      <c r="AQ275" s="354"/>
      <c r="AR275" s="354"/>
      <c r="AS275" s="354"/>
      <c r="AT275" s="354"/>
      <c r="AU275" s="354"/>
      <c r="AV275" s="354"/>
      <c r="AW275" s="352"/>
      <c r="AX275" s="352"/>
      <c r="AY275" s="354"/>
      <c r="AZ275" s="354"/>
      <c r="BA275" s="354"/>
      <c r="BB275" s="354"/>
      <c r="BC275" s="354"/>
      <c r="BD275" s="354"/>
      <c r="BE275" s="354"/>
      <c r="BF275" s="354"/>
      <c r="BG275" s="354"/>
      <c r="BH275" s="354"/>
      <c r="BI275" s="354"/>
      <c r="BJ275" s="354"/>
      <c r="BK275" s="354"/>
      <c r="BL275" s="354"/>
      <c r="BM275" s="352"/>
      <c r="BN275" s="352"/>
      <c r="BO275" s="354"/>
      <c r="BP275" s="354"/>
      <c r="BQ275" s="354"/>
      <c r="BR275" s="354"/>
      <c r="BS275" s="354"/>
      <c r="BT275" s="354"/>
      <c r="BU275" s="354"/>
      <c r="BV275" s="354"/>
      <c r="BW275" s="354"/>
      <c r="BX275" s="354"/>
      <c r="BY275" s="354"/>
      <c r="BZ275" s="354"/>
      <c r="CA275" s="354"/>
    </row>
    <row r="278" spans="1:79" ht="31.65" customHeight="1" x14ac:dyDescent="0.3"/>
    <row r="279" spans="1:79" ht="54.9" customHeight="1" x14ac:dyDescent="0.3"/>
    <row r="280" spans="1:79" ht="20.25" customHeight="1" x14ac:dyDescent="0.3"/>
    <row r="281" spans="1:79" ht="20.25" customHeight="1" x14ac:dyDescent="0.3"/>
    <row r="282" spans="1:79" s="364" customFormat="1" x14ac:dyDescent="0.3">
      <c r="A282" s="352"/>
      <c r="B282" s="352"/>
      <c r="C282" s="354"/>
      <c r="D282" s="354"/>
      <c r="E282" s="354"/>
      <c r="F282" s="354"/>
      <c r="G282" s="354"/>
      <c r="H282" s="354"/>
      <c r="I282" s="354"/>
      <c r="J282" s="354"/>
      <c r="K282" s="354"/>
      <c r="L282" s="354"/>
      <c r="M282" s="354"/>
      <c r="N282" s="354"/>
      <c r="O282" s="354"/>
      <c r="P282" s="354"/>
      <c r="Q282" s="352"/>
      <c r="R282" s="352"/>
      <c r="S282" s="354"/>
      <c r="T282" s="354"/>
      <c r="U282" s="354"/>
      <c r="V282" s="354"/>
      <c r="W282" s="354"/>
      <c r="X282" s="354"/>
      <c r="Y282" s="354"/>
      <c r="Z282" s="354"/>
      <c r="AA282" s="354"/>
      <c r="AB282" s="354"/>
      <c r="AC282" s="354"/>
      <c r="AD282" s="354"/>
      <c r="AE282" s="354"/>
      <c r="AF282" s="354"/>
      <c r="AG282" s="352"/>
      <c r="AH282" s="352"/>
      <c r="AI282" s="354"/>
      <c r="AJ282" s="354"/>
      <c r="AK282" s="354"/>
      <c r="AL282" s="354"/>
      <c r="AM282" s="354"/>
      <c r="AN282" s="354"/>
      <c r="AO282" s="354"/>
      <c r="AP282" s="354"/>
      <c r="AQ282" s="354"/>
      <c r="AR282" s="354"/>
      <c r="AS282" s="354"/>
      <c r="AT282" s="354"/>
      <c r="AU282" s="354"/>
      <c r="AV282" s="354"/>
      <c r="AW282" s="352"/>
      <c r="AX282" s="352"/>
      <c r="AY282" s="354"/>
      <c r="AZ282" s="354"/>
      <c r="BA282" s="354"/>
      <c r="BB282" s="354"/>
      <c r="BC282" s="354"/>
      <c r="BD282" s="354"/>
      <c r="BE282" s="354"/>
      <c r="BF282" s="354"/>
      <c r="BG282" s="354"/>
      <c r="BH282" s="354"/>
      <c r="BI282" s="354"/>
      <c r="BJ282" s="354"/>
      <c r="BK282" s="354"/>
      <c r="BL282" s="354"/>
      <c r="BM282" s="352"/>
      <c r="BN282" s="352"/>
      <c r="BO282" s="354"/>
      <c r="BP282" s="354"/>
      <c r="BQ282" s="354"/>
      <c r="BR282" s="354"/>
      <c r="BS282" s="354"/>
      <c r="BT282" s="354"/>
      <c r="BU282" s="354"/>
      <c r="BV282" s="354"/>
      <c r="BW282" s="354"/>
      <c r="BX282" s="354"/>
      <c r="BY282" s="354"/>
      <c r="BZ282" s="354"/>
      <c r="CA282" s="354"/>
    </row>
    <row r="284" spans="1:79" s="364" customFormat="1" x14ac:dyDescent="0.3">
      <c r="A284" s="352"/>
      <c r="B284" s="352"/>
      <c r="C284" s="354"/>
      <c r="D284" s="354"/>
      <c r="E284" s="354"/>
      <c r="F284" s="354"/>
      <c r="G284" s="354"/>
      <c r="H284" s="354"/>
      <c r="I284" s="354"/>
      <c r="J284" s="354"/>
      <c r="K284" s="354"/>
      <c r="L284" s="354"/>
      <c r="M284" s="354"/>
      <c r="N284" s="354"/>
      <c r="O284" s="354"/>
      <c r="P284" s="354"/>
      <c r="Q284" s="352"/>
      <c r="R284" s="352"/>
      <c r="S284" s="354"/>
      <c r="T284" s="354"/>
      <c r="U284" s="354"/>
      <c r="V284" s="354"/>
      <c r="W284" s="354"/>
      <c r="X284" s="354"/>
      <c r="Y284" s="354"/>
      <c r="Z284" s="354"/>
      <c r="AA284" s="354"/>
      <c r="AB284" s="354"/>
      <c r="AC284" s="354"/>
      <c r="AD284" s="354"/>
      <c r="AE284" s="354"/>
      <c r="AF284" s="354"/>
      <c r="AG284" s="352"/>
      <c r="AH284" s="352"/>
      <c r="AI284" s="354"/>
      <c r="AJ284" s="354"/>
      <c r="AK284" s="354"/>
      <c r="AL284" s="354"/>
      <c r="AM284" s="354"/>
      <c r="AN284" s="354"/>
      <c r="AO284" s="354"/>
      <c r="AP284" s="354"/>
      <c r="AQ284" s="354"/>
      <c r="AR284" s="354"/>
      <c r="AS284" s="354"/>
      <c r="AT284" s="354"/>
      <c r="AU284" s="354"/>
      <c r="AV284" s="354"/>
      <c r="AW284" s="352"/>
      <c r="AX284" s="352"/>
      <c r="AY284" s="354"/>
      <c r="AZ284" s="354"/>
      <c r="BA284" s="354"/>
      <c r="BB284" s="354"/>
      <c r="BC284" s="354"/>
      <c r="BD284" s="354"/>
      <c r="BE284" s="354"/>
      <c r="BF284" s="354"/>
      <c r="BG284" s="354"/>
      <c r="BH284" s="354"/>
      <c r="BI284" s="354"/>
      <c r="BJ284" s="354"/>
      <c r="BK284" s="354"/>
      <c r="BL284" s="354"/>
      <c r="BM284" s="352"/>
      <c r="BN284" s="352"/>
      <c r="BO284" s="354"/>
      <c r="BP284" s="354"/>
      <c r="BQ284" s="354"/>
      <c r="BR284" s="354"/>
      <c r="BS284" s="354"/>
      <c r="BT284" s="354"/>
      <c r="BU284" s="354"/>
      <c r="BV284" s="354"/>
      <c r="BW284" s="354"/>
      <c r="BX284" s="354"/>
      <c r="BY284" s="354"/>
      <c r="BZ284" s="354"/>
      <c r="CA284" s="354"/>
    </row>
    <row r="287" spans="1:79" s="391" customFormat="1" x14ac:dyDescent="0.3">
      <c r="A287" s="352"/>
      <c r="B287" s="352"/>
      <c r="C287" s="354"/>
      <c r="D287" s="354"/>
      <c r="E287" s="354"/>
      <c r="F287" s="354"/>
      <c r="G287" s="354"/>
      <c r="H287" s="354"/>
      <c r="I287" s="354"/>
      <c r="J287" s="354"/>
      <c r="K287" s="354"/>
      <c r="L287" s="354"/>
      <c r="M287" s="354"/>
      <c r="N287" s="354"/>
      <c r="O287" s="354"/>
      <c r="P287" s="354"/>
      <c r="Q287" s="352"/>
      <c r="R287" s="352"/>
      <c r="S287" s="354"/>
      <c r="T287" s="354"/>
      <c r="U287" s="354"/>
      <c r="V287" s="354"/>
      <c r="W287" s="354"/>
      <c r="X287" s="354"/>
      <c r="Y287" s="354"/>
      <c r="Z287" s="354"/>
      <c r="AA287" s="354"/>
      <c r="AB287" s="354"/>
      <c r="AC287" s="354"/>
      <c r="AD287" s="354"/>
      <c r="AE287" s="354"/>
      <c r="AF287" s="354"/>
      <c r="AG287" s="352"/>
      <c r="AH287" s="352"/>
      <c r="AI287" s="354"/>
      <c r="AJ287" s="354"/>
      <c r="AK287" s="354"/>
      <c r="AL287" s="354"/>
      <c r="AM287" s="354"/>
      <c r="AN287" s="354"/>
      <c r="AO287" s="354"/>
      <c r="AP287" s="354"/>
      <c r="AQ287" s="354"/>
      <c r="AR287" s="354"/>
      <c r="AS287" s="354"/>
      <c r="AT287" s="354"/>
      <c r="AU287" s="354"/>
      <c r="AV287" s="354"/>
      <c r="AW287" s="352"/>
      <c r="AX287" s="352"/>
      <c r="AY287" s="354"/>
      <c r="AZ287" s="354"/>
      <c r="BA287" s="354"/>
      <c r="BB287" s="354"/>
      <c r="BC287" s="354"/>
      <c r="BD287" s="354"/>
      <c r="BE287" s="354"/>
      <c r="BF287" s="354"/>
      <c r="BG287" s="354"/>
      <c r="BH287" s="354"/>
      <c r="BI287" s="354"/>
      <c r="BJ287" s="354"/>
      <c r="BK287" s="354"/>
      <c r="BL287" s="354"/>
      <c r="BM287" s="352"/>
      <c r="BN287" s="352"/>
      <c r="BO287" s="354"/>
      <c r="BP287" s="354"/>
      <c r="BQ287" s="354"/>
      <c r="BR287" s="354"/>
      <c r="BS287" s="354"/>
      <c r="BT287" s="354"/>
      <c r="BU287" s="354"/>
      <c r="BV287" s="354"/>
      <c r="BW287" s="354"/>
      <c r="BX287" s="354"/>
      <c r="BY287" s="354"/>
      <c r="BZ287" s="354"/>
      <c r="CA287" s="354"/>
    </row>
    <row r="291" spans="1:79" ht="54.9" customHeight="1" x14ac:dyDescent="0.3"/>
    <row r="292" spans="1:79" ht="20.25" customHeight="1" x14ac:dyDescent="0.3"/>
    <row r="293" spans="1:79" ht="20.25" customHeight="1" x14ac:dyDescent="0.3"/>
    <row r="294" spans="1:79" s="364" customFormat="1" x14ac:dyDescent="0.3">
      <c r="A294" s="352"/>
      <c r="B294" s="352"/>
      <c r="C294" s="354"/>
      <c r="D294" s="354"/>
      <c r="E294" s="354"/>
      <c r="F294" s="354"/>
      <c r="G294" s="354"/>
      <c r="H294" s="354"/>
      <c r="I294" s="354"/>
      <c r="J294" s="354"/>
      <c r="K294" s="354"/>
      <c r="L294" s="354"/>
      <c r="M294" s="354"/>
      <c r="N294" s="354"/>
      <c r="O294" s="354"/>
      <c r="P294" s="354"/>
      <c r="Q294" s="352"/>
      <c r="R294" s="352"/>
      <c r="S294" s="354"/>
      <c r="T294" s="354"/>
      <c r="U294" s="354"/>
      <c r="V294" s="354"/>
      <c r="W294" s="354"/>
      <c r="X294" s="354"/>
      <c r="Y294" s="354"/>
      <c r="Z294" s="354"/>
      <c r="AA294" s="354"/>
      <c r="AB294" s="354"/>
      <c r="AC294" s="354"/>
      <c r="AD294" s="354"/>
      <c r="AE294" s="354"/>
      <c r="AF294" s="354"/>
      <c r="AG294" s="352"/>
      <c r="AH294" s="352"/>
      <c r="AI294" s="354"/>
      <c r="AJ294" s="354"/>
      <c r="AK294" s="354"/>
      <c r="AL294" s="354"/>
      <c r="AM294" s="354"/>
      <c r="AN294" s="354"/>
      <c r="AO294" s="354"/>
      <c r="AP294" s="354"/>
      <c r="AQ294" s="354"/>
      <c r="AR294" s="354"/>
      <c r="AS294" s="354"/>
      <c r="AT294" s="354"/>
      <c r="AU294" s="354"/>
      <c r="AV294" s="354"/>
      <c r="AW294" s="352"/>
      <c r="AX294" s="352"/>
      <c r="AY294" s="354"/>
      <c r="AZ294" s="354"/>
      <c r="BA294" s="354"/>
      <c r="BB294" s="354"/>
      <c r="BC294" s="354"/>
      <c r="BD294" s="354"/>
      <c r="BE294" s="354"/>
      <c r="BF294" s="354"/>
      <c r="BG294" s="354"/>
      <c r="BH294" s="354"/>
      <c r="BI294" s="354"/>
      <c r="BJ294" s="354"/>
      <c r="BK294" s="354"/>
      <c r="BL294" s="354"/>
      <c r="BM294" s="352"/>
      <c r="BN294" s="352"/>
      <c r="BO294" s="354"/>
      <c r="BP294" s="354"/>
      <c r="BQ294" s="354"/>
      <c r="BR294" s="354"/>
      <c r="BS294" s="354"/>
      <c r="BT294" s="354"/>
      <c r="BU294" s="354"/>
      <c r="BV294" s="354"/>
      <c r="BW294" s="354"/>
      <c r="BX294" s="354"/>
      <c r="BY294" s="354"/>
      <c r="BZ294" s="354"/>
      <c r="CA294" s="354"/>
    </row>
    <row r="295" spans="1:79" s="364" customFormat="1" x14ac:dyDescent="0.3">
      <c r="A295" s="352"/>
      <c r="B295" s="352"/>
      <c r="C295" s="354"/>
      <c r="D295" s="354"/>
      <c r="E295" s="354"/>
      <c r="F295" s="354"/>
      <c r="G295" s="354"/>
      <c r="H295" s="354"/>
      <c r="I295" s="354"/>
      <c r="J295" s="354"/>
      <c r="K295" s="354"/>
      <c r="L295" s="354"/>
      <c r="M295" s="354"/>
      <c r="N295" s="354"/>
      <c r="O295" s="354"/>
      <c r="P295" s="354"/>
      <c r="Q295" s="352"/>
      <c r="R295" s="352"/>
      <c r="S295" s="354"/>
      <c r="T295" s="354"/>
      <c r="U295" s="354"/>
      <c r="V295" s="354"/>
      <c r="W295" s="354"/>
      <c r="X295" s="354"/>
      <c r="Y295" s="354"/>
      <c r="Z295" s="354"/>
      <c r="AA295" s="354"/>
      <c r="AB295" s="354"/>
      <c r="AC295" s="354"/>
      <c r="AD295" s="354"/>
      <c r="AE295" s="354"/>
      <c r="AF295" s="354"/>
      <c r="AG295" s="352"/>
      <c r="AH295" s="352"/>
      <c r="AI295" s="354"/>
      <c r="AJ295" s="354"/>
      <c r="AK295" s="354"/>
      <c r="AL295" s="354"/>
      <c r="AM295" s="354"/>
      <c r="AN295" s="354"/>
      <c r="AO295" s="354"/>
      <c r="AP295" s="354"/>
      <c r="AQ295" s="354"/>
      <c r="AR295" s="354"/>
      <c r="AS295" s="354"/>
      <c r="AT295" s="354"/>
      <c r="AU295" s="354"/>
      <c r="AV295" s="354"/>
      <c r="AW295" s="352"/>
      <c r="AX295" s="352"/>
      <c r="AY295" s="354"/>
      <c r="AZ295" s="354"/>
      <c r="BA295" s="354"/>
      <c r="BB295" s="354"/>
      <c r="BC295" s="354"/>
      <c r="BD295" s="354"/>
      <c r="BE295" s="354"/>
      <c r="BF295" s="354"/>
      <c r="BG295" s="354"/>
      <c r="BH295" s="354"/>
      <c r="BI295" s="354"/>
      <c r="BJ295" s="354"/>
      <c r="BK295" s="354"/>
      <c r="BL295" s="354"/>
      <c r="BM295" s="352"/>
      <c r="BN295" s="352"/>
      <c r="BO295" s="354"/>
      <c r="BP295" s="354"/>
      <c r="BQ295" s="354"/>
      <c r="BR295" s="354"/>
      <c r="BS295" s="354"/>
      <c r="BT295" s="354"/>
      <c r="BU295" s="354"/>
      <c r="BV295" s="354"/>
      <c r="BW295" s="354"/>
      <c r="BX295" s="354"/>
      <c r="BY295" s="354"/>
      <c r="BZ295" s="354"/>
      <c r="CA295" s="354"/>
    </row>
    <row r="296" spans="1:79" s="364" customFormat="1" x14ac:dyDescent="0.3">
      <c r="A296" s="352"/>
      <c r="B296" s="352"/>
      <c r="C296" s="354"/>
      <c r="D296" s="354"/>
      <c r="E296" s="354"/>
      <c r="F296" s="354"/>
      <c r="G296" s="354"/>
      <c r="H296" s="354"/>
      <c r="I296" s="354"/>
      <c r="J296" s="354"/>
      <c r="K296" s="354"/>
      <c r="L296" s="354"/>
      <c r="M296" s="354"/>
      <c r="N296" s="354"/>
      <c r="O296" s="354"/>
      <c r="P296" s="354"/>
      <c r="Q296" s="352"/>
      <c r="R296" s="352"/>
      <c r="S296" s="354"/>
      <c r="T296" s="354"/>
      <c r="U296" s="354"/>
      <c r="V296" s="354"/>
      <c r="W296" s="354"/>
      <c r="X296" s="354"/>
      <c r="Y296" s="354"/>
      <c r="Z296" s="354"/>
      <c r="AA296" s="354"/>
      <c r="AB296" s="354"/>
      <c r="AC296" s="354"/>
      <c r="AD296" s="354"/>
      <c r="AE296" s="354"/>
      <c r="AF296" s="354"/>
      <c r="AG296" s="352"/>
      <c r="AH296" s="352"/>
      <c r="AI296" s="354"/>
      <c r="AJ296" s="354"/>
      <c r="AK296" s="354"/>
      <c r="AL296" s="354"/>
      <c r="AM296" s="354"/>
      <c r="AN296" s="354"/>
      <c r="AO296" s="354"/>
      <c r="AP296" s="354"/>
      <c r="AQ296" s="354"/>
      <c r="AR296" s="354"/>
      <c r="AS296" s="354"/>
      <c r="AT296" s="354"/>
      <c r="AU296" s="354"/>
      <c r="AV296" s="354"/>
      <c r="AW296" s="352"/>
      <c r="AX296" s="352"/>
      <c r="AY296" s="354"/>
      <c r="AZ296" s="354"/>
      <c r="BA296" s="354"/>
      <c r="BB296" s="354"/>
      <c r="BC296" s="354"/>
      <c r="BD296" s="354"/>
      <c r="BE296" s="354"/>
      <c r="BF296" s="354"/>
      <c r="BG296" s="354"/>
      <c r="BH296" s="354"/>
      <c r="BI296" s="354"/>
      <c r="BJ296" s="354"/>
      <c r="BK296" s="354"/>
      <c r="BL296" s="354"/>
      <c r="BM296" s="352"/>
      <c r="BN296" s="352"/>
      <c r="BO296" s="354"/>
      <c r="BP296" s="354"/>
      <c r="BQ296" s="354"/>
      <c r="BR296" s="354"/>
      <c r="BS296" s="354"/>
      <c r="BT296" s="354"/>
      <c r="BU296" s="354"/>
      <c r="BV296" s="354"/>
      <c r="BW296" s="354"/>
      <c r="BX296" s="354"/>
      <c r="BY296" s="354"/>
      <c r="BZ296" s="354"/>
      <c r="CA296" s="354"/>
    </row>
    <row r="299" spans="1:79" s="391" customFormat="1" x14ac:dyDescent="0.3">
      <c r="A299" s="352"/>
      <c r="B299" s="352"/>
      <c r="C299" s="354"/>
      <c r="D299" s="354"/>
      <c r="E299" s="354"/>
      <c r="F299" s="354"/>
      <c r="G299" s="354"/>
      <c r="H299" s="354"/>
      <c r="I299" s="354"/>
      <c r="J299" s="354"/>
      <c r="K299" s="354"/>
      <c r="L299" s="354"/>
      <c r="M299" s="354"/>
      <c r="N299" s="354"/>
      <c r="O299" s="354"/>
      <c r="P299" s="354"/>
      <c r="Q299" s="352"/>
      <c r="R299" s="352"/>
      <c r="S299" s="354"/>
      <c r="T299" s="354"/>
      <c r="U299" s="354"/>
      <c r="V299" s="354"/>
      <c r="W299" s="354"/>
      <c r="X299" s="354"/>
      <c r="Y299" s="354"/>
      <c r="Z299" s="354"/>
      <c r="AA299" s="354"/>
      <c r="AB299" s="354"/>
      <c r="AC299" s="354"/>
      <c r="AD299" s="354"/>
      <c r="AE299" s="354"/>
      <c r="AF299" s="354"/>
      <c r="AG299" s="352"/>
      <c r="AH299" s="352"/>
      <c r="AI299" s="354"/>
      <c r="AJ299" s="354"/>
      <c r="AK299" s="354"/>
      <c r="AL299" s="354"/>
      <c r="AM299" s="354"/>
      <c r="AN299" s="354"/>
      <c r="AO299" s="354"/>
      <c r="AP299" s="354"/>
      <c r="AQ299" s="354"/>
      <c r="AR299" s="354"/>
      <c r="AS299" s="354"/>
      <c r="AT299" s="354"/>
      <c r="AU299" s="354"/>
      <c r="AV299" s="354"/>
      <c r="AW299" s="352"/>
      <c r="AX299" s="352"/>
      <c r="AY299" s="354"/>
      <c r="AZ299" s="354"/>
      <c r="BA299" s="354"/>
      <c r="BB299" s="354"/>
      <c r="BC299" s="354"/>
      <c r="BD299" s="354"/>
      <c r="BE299" s="354"/>
      <c r="BF299" s="354"/>
      <c r="BG299" s="354"/>
      <c r="BH299" s="354"/>
      <c r="BI299" s="354"/>
      <c r="BJ299" s="354"/>
      <c r="BK299" s="354"/>
      <c r="BL299" s="354"/>
      <c r="BM299" s="352"/>
      <c r="BN299" s="352"/>
      <c r="BO299" s="354"/>
      <c r="BP299" s="354"/>
      <c r="BQ299" s="354"/>
      <c r="BR299" s="354"/>
      <c r="BS299" s="354"/>
      <c r="BT299" s="354"/>
      <c r="BU299" s="354"/>
      <c r="BV299" s="354"/>
      <c r="BW299" s="354"/>
      <c r="BX299" s="354"/>
      <c r="BY299" s="354"/>
      <c r="BZ299" s="354"/>
      <c r="CA299" s="354"/>
    </row>
    <row r="303" spans="1:79" ht="27.9" customHeight="1" x14ac:dyDescent="0.3"/>
  </sheetData>
  <mergeCells count="350"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</mergeCells>
  <pageMargins left="0.35" right="0.5" top="0.5" bottom="0.25" header="0.5" footer="0.25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85</vt:i4>
      </vt:variant>
    </vt:vector>
  </HeadingPairs>
  <TitlesOfParts>
    <vt:vector size="100" baseType="lpstr">
      <vt:lpstr>Data Sheet</vt:lpstr>
      <vt:lpstr>General_Bid</vt:lpstr>
      <vt:lpstr>Worksheet</vt:lpstr>
      <vt:lpstr>Tickets</vt:lpstr>
      <vt:lpstr>Shade shop copy</vt:lpstr>
      <vt:lpstr>Tube Cut</vt:lpstr>
      <vt:lpstr>Installation Copy</vt:lpstr>
      <vt:lpstr>Worksheet (2)</vt:lpstr>
      <vt:lpstr>Tickets (2)</vt:lpstr>
      <vt:lpstr>Shade shop copy (2)</vt:lpstr>
      <vt:lpstr>Tube Cut (2)</vt:lpstr>
      <vt:lpstr>Installation Copy (2)</vt:lpstr>
      <vt:lpstr>Package Labels</vt:lpstr>
      <vt:lpstr>Fascia Labels</vt:lpstr>
      <vt:lpstr>Factor update</vt:lpstr>
      <vt:lpstr>'Fascia Labels'!bill_name</vt:lpstr>
      <vt:lpstr>General_Bid!bill_name</vt:lpstr>
      <vt:lpstr>'Installation Copy'!bill_name</vt:lpstr>
      <vt:lpstr>'Installation Copy (2)'!bill_name</vt:lpstr>
      <vt:lpstr>'Shade shop copy'!bill_name</vt:lpstr>
      <vt:lpstr>'Shade shop copy (2)'!bill_name</vt:lpstr>
      <vt:lpstr>Tickets!bill_name</vt:lpstr>
      <vt:lpstr>'Tickets (2)'!bill_name</vt:lpstr>
      <vt:lpstr>bill_name</vt:lpstr>
      <vt:lpstr>'Fascia Labels'!bracket</vt:lpstr>
      <vt:lpstr>General_Bid!bracket</vt:lpstr>
      <vt:lpstr>Tickets!bracket</vt:lpstr>
      <vt:lpstr>'Tickets (2)'!bracket</vt:lpstr>
      <vt:lpstr>bracket</vt:lpstr>
      <vt:lpstr>'Fascia Labels'!channel</vt:lpstr>
      <vt:lpstr>General_Bid!channel</vt:lpstr>
      <vt:lpstr>Tickets!channel</vt:lpstr>
      <vt:lpstr>'Tickets (2)'!channel</vt:lpstr>
      <vt:lpstr>channel</vt:lpstr>
      <vt:lpstr>General_Bid!Deliver</vt:lpstr>
      <vt:lpstr>'Fascia Labels'!Fabric_1</vt:lpstr>
      <vt:lpstr>General_Bid!Fabric_1</vt:lpstr>
      <vt:lpstr>'Package Labels'!Fabric_1</vt:lpstr>
      <vt:lpstr>Tickets!Fabric_1</vt:lpstr>
      <vt:lpstr>'Tickets (2)'!Fabric_1</vt:lpstr>
      <vt:lpstr>Fabric_1</vt:lpstr>
      <vt:lpstr>'Fascia Labels'!Fabric_2</vt:lpstr>
      <vt:lpstr>General_Bid!Fabric_2</vt:lpstr>
      <vt:lpstr>'Package Labels'!Fabric_2</vt:lpstr>
      <vt:lpstr>Tickets!Fabric_2</vt:lpstr>
      <vt:lpstr>'Tickets (2)'!Fabric_2</vt:lpstr>
      <vt:lpstr>Fabric_2</vt:lpstr>
      <vt:lpstr>'Fascia Labels'!Fabric_3</vt:lpstr>
      <vt:lpstr>General_Bid!Fabric_3</vt:lpstr>
      <vt:lpstr>'Package Labels'!Fabric_3</vt:lpstr>
      <vt:lpstr>Tickets!Fabric_3</vt:lpstr>
      <vt:lpstr>'Tickets (2)'!Fabric_3</vt:lpstr>
      <vt:lpstr>Fabric_3</vt:lpstr>
      <vt:lpstr>'Fascia Labels'!Fabric_4</vt:lpstr>
      <vt:lpstr>General_Bid!Fabric_4</vt:lpstr>
      <vt:lpstr>'Package Labels'!Fabric_4</vt:lpstr>
      <vt:lpstr>Tickets!Fabric_4</vt:lpstr>
      <vt:lpstr>'Tickets (2)'!Fabric_4</vt:lpstr>
      <vt:lpstr>Fabric_4</vt:lpstr>
      <vt:lpstr>'Fascia Labels'!facia</vt:lpstr>
      <vt:lpstr>General_Bid!facia</vt:lpstr>
      <vt:lpstr>Tickets!facia</vt:lpstr>
      <vt:lpstr>'Tickets (2)'!facia</vt:lpstr>
      <vt:lpstr>facia</vt:lpstr>
      <vt:lpstr>General_Bid!factor</vt:lpstr>
      <vt:lpstr>General_Bid!heavy_tube</vt:lpstr>
      <vt:lpstr>General_Bid!Install</vt:lpstr>
      <vt:lpstr>'Fascia Labels'!jobname</vt:lpstr>
      <vt:lpstr>General_Bid!jobname</vt:lpstr>
      <vt:lpstr>'Installation Copy'!jobname</vt:lpstr>
      <vt:lpstr>'Installation Copy (2)'!jobname</vt:lpstr>
      <vt:lpstr>'Package Labels'!jobname</vt:lpstr>
      <vt:lpstr>'Shade shop copy'!jobname</vt:lpstr>
      <vt:lpstr>'Shade shop copy (2)'!jobname</vt:lpstr>
      <vt:lpstr>Tickets!jobname</vt:lpstr>
      <vt:lpstr>'Tickets (2)'!jobname</vt:lpstr>
      <vt:lpstr>jobname</vt:lpstr>
      <vt:lpstr>'Fascia Labels'!jobnumber</vt:lpstr>
      <vt:lpstr>Tickets!jobnumber</vt:lpstr>
      <vt:lpstr>'Tickets (2)'!jobnumber</vt:lpstr>
      <vt:lpstr>jobnumber</vt:lpstr>
      <vt:lpstr>'Tube Cut'!line1</vt:lpstr>
      <vt:lpstr>'Tube Cut (2)'!line1</vt:lpstr>
      <vt:lpstr>'Factor update'!markup</vt:lpstr>
      <vt:lpstr>General_Bid!markup</vt:lpstr>
      <vt:lpstr>'Fascia Labels'!Print_Area</vt:lpstr>
      <vt:lpstr>General_Bid!Print_Area</vt:lpstr>
      <vt:lpstr>'Installation Copy'!Print_Area</vt:lpstr>
      <vt:lpstr>'Installation Copy (2)'!Print_Area</vt:lpstr>
      <vt:lpstr>'Package Labels'!Print_Area</vt:lpstr>
      <vt:lpstr>'Shade shop copy'!Print_Area</vt:lpstr>
      <vt:lpstr>'Shade shop copy (2)'!Print_Area</vt:lpstr>
      <vt:lpstr>Tickets!Print_Area</vt:lpstr>
      <vt:lpstr>'Tickets (2)'!Print_Area</vt:lpstr>
      <vt:lpstr>'Tube Cut'!Print_Area</vt:lpstr>
      <vt:lpstr>'Tube Cut (2)'!Print_Area</vt:lpstr>
      <vt:lpstr>Worksheet!Print_Area</vt:lpstr>
      <vt:lpstr>'Worksheet (2)'!Print_Area</vt:lpstr>
      <vt:lpstr>General_Bid!reg_tube</vt:lpstr>
      <vt:lpstr>General_Bid!Will_call</vt:lpstr>
    </vt:vector>
  </TitlesOfParts>
  <Company>Colton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Colton Inc.</dc:creator>
  <cp:lastModifiedBy>Colton Inc.</cp:lastModifiedBy>
  <cp:lastPrinted>2024-12-27T14:44:10Z</cp:lastPrinted>
  <dcterms:created xsi:type="dcterms:W3CDTF">1999-06-03T14:17:59Z</dcterms:created>
  <dcterms:modified xsi:type="dcterms:W3CDTF">2024-12-27T14:46:16Z</dcterms:modified>
</cp:coreProperties>
</file>