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CBRE\Tennessee\"/>
    </mc:Choice>
  </mc:AlternateContent>
  <xr:revisionPtr revIDLastSave="0" documentId="13_ncr:1_{7C7C3420-86B2-4E83-AC98-2873F88505D7}" xr6:coauthVersionLast="47" xr6:coauthVersionMax="47" xr10:uidLastSave="{00000000-0000-0000-0000-000000000000}"/>
  <bookViews>
    <workbookView xWindow="-27210" yWindow="345" windowWidth="21600" windowHeight="11295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I113" i="30" a="1"/>
  <c r="H147" i="30" a="1"/>
  <c r="D103" i="30" a="1"/>
  <c r="I183" i="30" a="1"/>
  <c r="I73" i="30" a="1"/>
  <c r="C227" i="30" a="1"/>
  <c r="M201" i="30" a="1"/>
  <c r="D224" i="30" a="1"/>
  <c r="H132" i="30" a="1"/>
  <c r="H65" i="30" a="1"/>
  <c r="H53" i="30" a="1"/>
  <c r="E117" i="30" a="1"/>
  <c r="C133" i="30" a="1"/>
  <c r="D130" i="30" a="1"/>
  <c r="I251" i="30" a="1"/>
  <c r="D169" i="30" a="1"/>
  <c r="D35" i="30" a="1"/>
  <c r="G99" i="30" a="1"/>
  <c r="D22" i="30" a="1"/>
  <c r="H93" i="30" a="1"/>
  <c r="D36" i="30" a="1"/>
  <c r="I21" i="30" a="1"/>
  <c r="G153" i="30" a="1"/>
  <c r="H25" i="30" a="1"/>
  <c r="H145" i="30" a="1"/>
  <c r="M11" i="30" a="1"/>
  <c r="H11" i="30" a="1"/>
  <c r="C53" i="30" a="1"/>
  <c r="H160" i="30" a="1"/>
  <c r="I195" i="30" a="1"/>
  <c r="M255" i="30" a="1"/>
  <c r="H187" i="30" a="1"/>
  <c r="D144" i="30" a="1"/>
  <c r="C215" i="30" a="1"/>
  <c r="C255" i="30" a="1"/>
  <c r="M147" i="30" a="1"/>
  <c r="C107" i="30" a="1"/>
  <c r="D133" i="30" a="1"/>
  <c r="H70" i="30" a="1"/>
  <c r="C25" i="30" a="1"/>
  <c r="D186" i="30" a="1"/>
  <c r="F30" i="30" a="1"/>
  <c r="H106" i="30" a="1"/>
  <c r="H214" i="30" a="1"/>
  <c r="I115" i="30" a="1"/>
  <c r="D238" i="30" a="1"/>
  <c r="D266" i="30" a="1"/>
  <c r="E63" i="30" a="1"/>
  <c r="D75" i="30" a="1"/>
  <c r="D160" i="30" a="1"/>
  <c r="I61" i="30" a="1"/>
  <c r="D246" i="30" a="1"/>
  <c r="M107" i="30" a="1"/>
  <c r="D7" i="30" a="1"/>
  <c r="D30" i="30" a="1"/>
  <c r="H91" i="30" a="1"/>
  <c r="D132" i="30" a="1"/>
  <c r="I263" i="30" a="1"/>
  <c r="M53" i="30" a="1"/>
  <c r="D241" i="30" a="1"/>
  <c r="D89" i="30" a="1"/>
  <c r="H30" i="30" a="1"/>
  <c r="I143" i="30" a="1"/>
  <c r="G45" i="30" a="1"/>
  <c r="H215" i="30" a="1"/>
  <c r="D214" i="30" a="1"/>
  <c r="D56" i="30" a="1"/>
  <c r="H152" i="30" a="1"/>
  <c r="I59" i="30" a="1"/>
  <c r="D104" i="30" a="1"/>
  <c r="C65" i="30" a="1"/>
  <c r="D197" i="30" a="1"/>
  <c r="G193" i="30" a="1"/>
  <c r="E91" i="30" a="1"/>
  <c r="E23" i="30" a="1"/>
  <c r="D116" i="30" a="1"/>
  <c r="H44" i="30" a="1"/>
  <c r="D226" i="30" a="1"/>
  <c r="D158" i="30" a="1"/>
  <c r="F110" i="30" a="1"/>
  <c r="D254" i="30" a="1"/>
  <c r="H105" i="30" a="1"/>
  <c r="G57" i="30" a="1"/>
  <c r="I129" i="30" a="1"/>
  <c r="F246" i="30" a="1"/>
  <c r="E171" i="30" a="1"/>
  <c r="D118" i="30" a="1"/>
  <c r="G139" i="30" a="1"/>
  <c r="F124" i="30" a="1"/>
  <c r="I249" i="30" a="1"/>
  <c r="E213" i="30" a="1"/>
  <c r="H133" i="30" a="1"/>
  <c r="D106" i="30" a="1"/>
  <c r="G247" i="30" a="1"/>
  <c r="I223" i="30" a="1"/>
  <c r="D240" i="30" a="1"/>
  <c r="C79" i="30" a="1"/>
  <c r="I209" i="30" a="1"/>
  <c r="C241" i="30" a="1"/>
  <c r="F138" i="30" a="1"/>
  <c r="M65" i="30" a="1"/>
  <c r="H161" i="30" a="1"/>
  <c r="H255" i="30" a="1"/>
  <c r="D10" i="30" a="1"/>
  <c r="D178" i="30" a="1"/>
  <c r="D62" i="30" a="1"/>
  <c r="H260" i="30" a="1"/>
  <c r="G179" i="30" a="1"/>
  <c r="D124" i="30" a="1"/>
  <c r="G219" i="30" a="1"/>
  <c r="D39" i="30" a="1"/>
  <c r="D206" i="30" a="1"/>
  <c r="I87" i="30" a="1"/>
  <c r="D200" i="30" a="1"/>
  <c r="E185" i="30" a="1"/>
  <c r="M39" i="30" a="1"/>
  <c r="I169" i="30" a="1"/>
  <c r="I167" i="30" a="1"/>
  <c r="I49" i="30" a="1"/>
  <c r="H192" i="30" a="1"/>
  <c r="M241" i="30" a="1"/>
  <c r="G125" i="30" a="1"/>
  <c r="D50" i="30" a="1"/>
  <c r="D61" i="30" a="1"/>
  <c r="M187" i="30" a="1"/>
  <c r="D93" i="30" a="1"/>
  <c r="D92" i="30" a="1"/>
  <c r="I47" i="30" a="1"/>
  <c r="H171" i="30" a="1"/>
  <c r="M161" i="30" a="1"/>
  <c r="H84" i="30" a="1"/>
  <c r="H92" i="30" a="1"/>
  <c r="D76" i="30" a="1"/>
  <c r="H77" i="30" a="1"/>
  <c r="H213" i="30" a="1"/>
  <c r="C161" i="30" a="1"/>
  <c r="D146" i="30" a="1"/>
  <c r="I7" i="30" a="1"/>
  <c r="D172" i="30" a="1"/>
  <c r="D84" i="30" a="1"/>
  <c r="D211" i="30" a="1"/>
  <c r="D79" i="30" a="1"/>
  <c r="D21" i="30" a="1"/>
  <c r="D138" i="30" a="1"/>
  <c r="H254" i="30" a="1"/>
  <c r="H117" i="30" a="1"/>
  <c r="D64" i="30" a="1"/>
  <c r="I141" i="30" a="1"/>
  <c r="F232" i="30" a="1"/>
  <c r="D157" i="30" a="1"/>
  <c r="D115" i="30" a="1"/>
  <c r="I235" i="30" a="1"/>
  <c r="E253" i="30" a="1"/>
  <c r="F2" i="30" a="1"/>
  <c r="H159" i="30" a="1"/>
  <c r="I75" i="30" a="1"/>
  <c r="D164" i="30" a="1"/>
  <c r="D90" i="30" a="1"/>
  <c r="M227" i="30" a="1"/>
  <c r="M173" i="30" a="1"/>
  <c r="H267" i="30" a="1"/>
  <c r="D218" i="30" a="1"/>
  <c r="I19" i="30" a="1"/>
  <c r="D25" i="30" a="1"/>
  <c r="E37" i="30" a="1"/>
  <c r="H269" i="30" a="1"/>
  <c r="H253" i="30" a="1"/>
  <c r="F152" i="30" a="1"/>
  <c r="I197" i="30" a="1"/>
  <c r="D2" i="30" a="1"/>
  <c r="H38" i="30" a="1"/>
  <c r="I35" i="30" a="1"/>
  <c r="D255" i="30" a="1"/>
  <c r="D98" i="30" a="1"/>
  <c r="D192" i="30" a="1"/>
  <c r="C187" i="30" a="1"/>
  <c r="D16" i="30" a="1"/>
  <c r="H173" i="30" a="1"/>
  <c r="E51" i="30" a="1"/>
  <c r="I157" i="30" a="1"/>
  <c r="F164" i="30" a="1"/>
  <c r="H10" i="30" a="1"/>
  <c r="E239" i="30" a="1"/>
  <c r="D24" i="30" a="1"/>
  <c r="I127" i="30" a="1"/>
  <c r="H186" i="30" a="1"/>
  <c r="D260" i="30" a="1"/>
  <c r="H52" i="30" a="1"/>
  <c r="D170" i="30" a="1"/>
  <c r="H16" i="30" a="1"/>
  <c r="H201" i="30" a="1"/>
  <c r="D251" i="30" a="1"/>
  <c r="I211" i="30" a="1"/>
  <c r="H226" i="30" a="1"/>
  <c r="H119" i="30" a="1"/>
  <c r="F56" i="30" a="1"/>
  <c r="D201" i="30" a="1"/>
  <c r="D78" i="30" a="1"/>
  <c r="C11" i="30" a="1"/>
  <c r="F218" i="30" a="1"/>
  <c r="C269" i="30" a="1"/>
  <c r="F192" i="30" a="1"/>
  <c r="E267" i="30" a="1"/>
  <c r="I89" i="30" a="1"/>
  <c r="H178" i="30" a="1"/>
  <c r="M79" i="30" a="1"/>
  <c r="F44" i="30" a="1"/>
  <c r="C119" i="30" a="1"/>
  <c r="G111" i="30" a="1"/>
  <c r="F98" i="30" a="1"/>
  <c r="F206" i="30" a="1"/>
  <c r="I181" i="30" a="1"/>
  <c r="D152" i="30" a="1"/>
  <c r="C93" i="30" a="1"/>
  <c r="M269" i="30" a="1"/>
  <c r="D110" i="30" a="1"/>
  <c r="D119" i="30" a="1"/>
  <c r="H110" i="30" a="1"/>
  <c r="D227" i="30" a="1"/>
  <c r="E105" i="30" a="1"/>
  <c r="D38" i="30" a="1"/>
  <c r="I155" i="30" a="1"/>
  <c r="H146" i="30" a="1"/>
  <c r="D107" i="30" a="1"/>
  <c r="H63" i="30" a="1"/>
  <c r="I265" i="30" a="1"/>
  <c r="H64" i="30" a="1"/>
  <c r="H9" i="30" a="1"/>
  <c r="H218" i="30" a="1"/>
  <c r="H124" i="30" a="1"/>
  <c r="H172" i="30" a="1"/>
  <c r="H206" i="30" a="1"/>
  <c r="D52" i="30" a="1"/>
  <c r="E225" i="30" a="1"/>
  <c r="G17" i="30" a="1"/>
  <c r="D173" i="30" a="1"/>
  <c r="H51" i="30" a="1"/>
  <c r="E77" i="30" a="1"/>
  <c r="E199" i="30" a="1"/>
  <c r="E9" i="30" a="1"/>
  <c r="D53" i="30" a="1"/>
  <c r="D147" i="30" a="1"/>
  <c r="C201" i="30" a="1"/>
  <c r="E131" i="30" a="1"/>
  <c r="H39" i="30" a="1"/>
  <c r="G165" i="30" a="1"/>
  <c r="H200" i="30" a="1"/>
  <c r="H56" i="30" a="1"/>
  <c r="M25" i="30" a="1"/>
  <c r="H98" i="30" a="1"/>
  <c r="F70" i="30" a="1"/>
  <c r="H239" i="30" a="1"/>
  <c r="D8" i="30" a="1"/>
  <c r="D184" i="30" a="1"/>
  <c r="D232" i="30" a="1"/>
  <c r="F84" i="30" a="1"/>
  <c r="C147" i="30" a="1"/>
  <c r="H37" i="30" a="1"/>
  <c r="H240" i="30" a="1"/>
  <c r="G233" i="30" a="1"/>
  <c r="H185" i="30" a="1"/>
  <c r="F178" i="30" a="1"/>
  <c r="D187" i="30" a="1"/>
  <c r="D268" i="30" a="1"/>
  <c r="D161" i="30" a="1"/>
  <c r="H107" i="30" a="1"/>
  <c r="F260" i="30" a="1"/>
  <c r="D49" i="30" a="1"/>
  <c r="H23" i="30" a="1"/>
  <c r="H246" i="30" a="1"/>
  <c r="H118" i="30" a="1"/>
  <c r="D212" i="30" a="1"/>
  <c r="D11" i="30" a="1"/>
  <c r="H2" i="30" a="1"/>
  <c r="G207" i="30" a="1"/>
  <c r="D252" i="30" a="1"/>
  <c r="I33" i="30" a="1"/>
  <c r="M119" i="30" a="1"/>
  <c r="H24" i="30" a="1"/>
  <c r="M93" i="30" a="1"/>
  <c r="H225" i="30" a="1"/>
  <c r="H164" i="30" a="1"/>
  <c r="D143" i="30" a="1"/>
  <c r="I103" i="30" a="1"/>
  <c r="I221" i="30" a="1"/>
  <c r="H232" i="30" a="1"/>
  <c r="G71" i="30" a="1"/>
  <c r="D44" i="30" a="1"/>
  <c r="H78" i="30" a="1"/>
  <c r="D237" i="30" a="1"/>
  <c r="H227" i="30" a="1"/>
  <c r="D269" i="30" a="1"/>
  <c r="D129" i="30" a="1"/>
  <c r="E145" i="30" a="1"/>
  <c r="H131" i="30" a="1"/>
  <c r="D65" i="30" a="1"/>
  <c r="H138" i="30" a="1"/>
  <c r="H241" i="30" a="1"/>
  <c r="D183" i="30" a="1"/>
  <c r="D70" i="30" a="1"/>
  <c r="C173" i="30" a="1"/>
  <c r="D265" i="30" a="1"/>
  <c r="H199" i="30" a="1"/>
  <c r="D198" i="30" a="1"/>
  <c r="G85" i="30" a="1"/>
  <c r="H268" i="30" a="1"/>
  <c r="M215" i="30" a="1"/>
  <c r="I101" i="30" a="1"/>
  <c r="M133" i="30" a="1"/>
  <c r="G261" i="30" a="1"/>
  <c r="H79" i="30" a="1"/>
  <c r="G31" i="30" a="1"/>
  <c r="F16" i="30" a="1"/>
  <c r="C39" i="30" a="1"/>
  <c r="E159" i="30" a="1"/>
  <c r="D223" i="30" a="1"/>
  <c r="I237" i="30" a="1"/>
  <c r="G3" i="30" a="1"/>
  <c r="D215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D4" i="30" a="1"/>
  <c r="D10" i="9" a="1"/>
  <c r="D115" i="9" a="1"/>
  <c r="D21" i="9" a="1"/>
  <c r="D52" i="9" a="1"/>
  <c r="F246" i="9" a="1"/>
  <c r="C93" i="9" a="1"/>
  <c r="H16" i="9" a="1"/>
  <c r="D173" i="9" a="1"/>
  <c r="C201" i="9" a="1"/>
  <c r="D143" i="9" a="1"/>
  <c r="D187" i="9" a="1"/>
  <c r="D255" i="9" a="1"/>
  <c r="G247" i="9" a="1"/>
  <c r="E145" i="9" a="1"/>
  <c r="H147" i="9" a="1"/>
  <c r="E117" i="9" a="1"/>
  <c r="H9" i="9" a="1"/>
  <c r="E23" i="9" a="1"/>
  <c r="E105" i="9" a="1"/>
  <c r="C107" i="9" a="1"/>
  <c r="E77" i="9" a="1"/>
  <c r="G193" i="9" a="1"/>
  <c r="I5" i="30" a="1"/>
  <c r="M53" i="9" a="1"/>
  <c r="C269" i="9" a="1"/>
  <c r="F232" i="9" a="1"/>
  <c r="D227" i="9" a="1"/>
  <c r="C161" i="9" a="1"/>
  <c r="D161" i="9" a="1"/>
  <c r="C147" i="9" a="1"/>
  <c r="G99" i="9" a="1"/>
  <c r="D104" i="9" a="1"/>
  <c r="G85" i="9" a="1"/>
  <c r="G153" i="9" a="1"/>
  <c r="D116" i="9" a="1"/>
  <c r="F98" i="9" a="1"/>
  <c r="D197" i="9" a="1"/>
  <c r="D75" i="9" a="1"/>
  <c r="D198" i="9" a="1"/>
  <c r="F110" i="9" a="1"/>
  <c r="M241" i="9" a="1"/>
  <c r="H79" i="9" a="1"/>
  <c r="G57" i="9" a="1"/>
  <c r="M107" i="9" a="1"/>
  <c r="D106" i="9" a="1"/>
  <c r="C241" i="9" a="1"/>
  <c r="H38" i="9" a="1"/>
  <c r="C215" i="9" a="1"/>
  <c r="D266" i="9" a="1"/>
  <c r="D238" i="9" a="1"/>
  <c r="G3" i="9" a="1"/>
  <c r="D268" i="9" a="1"/>
  <c r="D237" i="9" a="1"/>
  <c r="M25" i="9" a="1"/>
  <c r="H107" i="9" a="1"/>
  <c r="E267" i="9" a="1"/>
  <c r="M227" i="9" a="1"/>
  <c r="D89" i="9" a="1"/>
  <c r="D223" i="9" a="1"/>
  <c r="C187" i="9" a="1"/>
  <c r="M161" i="9" a="1"/>
  <c r="D214" i="9" a="1"/>
  <c r="E91" i="9" a="1"/>
  <c r="D254" i="9" a="1"/>
  <c r="D49" i="9" a="1"/>
  <c r="D130" i="9" a="1"/>
  <c r="D8" i="9" a="1"/>
  <c r="E225" i="9" a="1"/>
  <c r="F152" i="9" a="1"/>
  <c r="H65" i="9" a="1"/>
  <c r="C119" i="9" a="1"/>
  <c r="C39" i="9" a="1"/>
  <c r="G233" i="9" a="1"/>
  <c r="D201" i="9" a="1"/>
  <c r="M187" i="9" a="1"/>
  <c r="C53" i="9" a="1"/>
  <c r="D11" i="9" a="1"/>
  <c r="D240" i="9" a="1"/>
  <c r="H255" i="9" a="1"/>
  <c r="C79" i="9" a="1"/>
  <c r="F84" i="9" a="1"/>
  <c r="D146" i="9" a="1"/>
  <c r="H241" i="9" a="1"/>
  <c r="M147" i="9" a="1"/>
  <c r="M269" i="9" a="1"/>
  <c r="C65" i="9" a="1"/>
  <c r="D265" i="9" a="1"/>
  <c r="F260" i="9" a="1"/>
  <c r="G45" i="9" a="1"/>
  <c r="E171" i="9" a="1"/>
  <c r="F218" i="9" a="1"/>
  <c r="E9" i="9" a="1"/>
  <c r="F138" i="9" a="1"/>
  <c r="D169" i="9" a="1"/>
  <c r="C227" i="9" a="1"/>
  <c r="G207" i="9" a="1"/>
  <c r="D224" i="9" a="1"/>
  <c r="D158" i="9" a="1"/>
  <c r="H161" i="9" a="1"/>
  <c r="H187" i="9" a="1"/>
  <c r="D118" i="9" a="1"/>
  <c r="H25" i="9" a="1"/>
  <c r="M119" i="9" a="1"/>
  <c r="H53" i="9" a="1"/>
  <c r="D36" i="9" a="1"/>
  <c r="F206" i="9" a="1"/>
  <c r="H93" i="9" a="1"/>
  <c r="H30" i="9" a="1"/>
  <c r="M11" i="9" a="1"/>
  <c r="D50" i="9" a="1"/>
  <c r="E131" i="9" a="1"/>
  <c r="M133" i="9" a="1"/>
  <c r="M79" i="9" a="1"/>
  <c r="E185" i="9" a="1"/>
  <c r="D160" i="9" a="1"/>
  <c r="M65" i="9" a="1"/>
  <c r="D147" i="9" a="1"/>
  <c r="D251" i="9" a="1"/>
  <c r="M173" i="9" a="1"/>
  <c r="E159" i="9" a="1"/>
  <c r="D39" i="9" a="1"/>
  <c r="F178" i="9" a="1"/>
  <c r="E239" i="9" a="1"/>
  <c r="F70" i="9" a="1"/>
  <c r="D129" i="9" a="1"/>
  <c r="D132" i="9" a="1"/>
  <c r="D7" i="9" a="1"/>
  <c r="D172" i="9" a="1"/>
  <c r="G71" i="9" a="1"/>
  <c r="H173" i="9" a="1"/>
  <c r="D62" i="9" a="1"/>
  <c r="D38" i="9" a="1"/>
  <c r="H10" i="9" a="1"/>
  <c r="D215" i="9" a="1"/>
  <c r="G125" i="9" a="1"/>
  <c r="D211" i="9" a="1"/>
  <c r="F56" i="9" a="1"/>
  <c r="G179" i="9" a="1"/>
  <c r="E63" i="9" a="1"/>
  <c r="F164" i="9" a="1"/>
  <c r="G219" i="9" a="1"/>
  <c r="D76" i="9" a="1"/>
  <c r="D79" i="9" a="1"/>
  <c r="H11" i="9" a="1"/>
  <c r="G31" i="9" a="1"/>
  <c r="C255" i="9" a="1"/>
  <c r="D24" i="9" a="1"/>
  <c r="E51" i="9" a="1"/>
  <c r="C11" i="9" a="1"/>
  <c r="D212" i="9" a="1"/>
  <c r="D53" i="9" a="1"/>
  <c r="D35" i="9" a="1"/>
  <c r="D25" i="9" a="1"/>
  <c r="G261" i="9" a="1"/>
  <c r="F192" i="9" a="1"/>
  <c r="D184" i="9" a="1"/>
  <c r="E37" i="9" a="1"/>
  <c r="G165" i="9" a="1"/>
  <c r="D103" i="9" a="1"/>
  <c r="D241" i="9" a="1"/>
  <c r="M255" i="9" a="1"/>
  <c r="C133" i="9" a="1"/>
  <c r="D183" i="9" a="1"/>
  <c r="D92" i="9" a="1"/>
  <c r="D107" i="9" a="1"/>
  <c r="E253" i="9" a="1"/>
  <c r="D64" i="9" a="1"/>
  <c r="D22" i="9" a="1"/>
  <c r="D200" i="9" a="1"/>
  <c r="H2" i="9" a="1"/>
  <c r="D133" i="9" a="1"/>
  <c r="E199" i="9" a="1"/>
  <c r="D90" i="9" a="1"/>
  <c r="M93" i="9" a="1"/>
  <c r="C25" i="9" a="1"/>
  <c r="G139" i="9" a="1"/>
  <c r="M201" i="9" a="1"/>
  <c r="D170" i="9" a="1"/>
  <c r="M39" i="9" a="1"/>
  <c r="D65" i="9" a="1"/>
  <c r="G111" i="9" a="1"/>
  <c r="D78" i="9" a="1"/>
  <c r="D61" i="9" a="1"/>
  <c r="D93" i="9" a="1"/>
  <c r="E213" i="9" a="1"/>
  <c r="D157" i="9" a="1"/>
  <c r="C173" i="9" a="1"/>
  <c r="H39" i="9" a="1"/>
  <c r="D119" i="9" a="1"/>
  <c r="F44" i="9" a="1"/>
  <c r="D186" i="9" a="1"/>
  <c r="F124" i="9" a="1"/>
  <c r="H227" i="9" a="1"/>
  <c r="H133" i="9" a="1"/>
  <c r="H24" i="9" a="1"/>
  <c r="H201" i="9" a="1"/>
  <c r="H269" i="9" a="1"/>
  <c r="D269" i="9" a="1"/>
  <c r="M215" i="9" a="1"/>
  <c r="D252" i="9" a="1"/>
  <c r="H119" i="9" a="1"/>
  <c r="H215" i="9" a="1"/>
  <c r="G17" i="9" a="1"/>
  <c r="D144" i="9" a="1"/>
  <c r="D226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28" i="1"/>
  <c r="S28" i="1" s="1"/>
  <c r="R29" i="1"/>
  <c r="S29" i="1" s="1"/>
  <c r="R30" i="1"/>
  <c r="S30" i="1" s="1"/>
  <c r="H37" i="9" a="1"/>
  <c r="H225" i="9" a="1"/>
  <c r="I33" i="9" a="1"/>
  <c r="D32" i="9" a="1"/>
  <c r="H185" i="9" a="1"/>
  <c r="H199" i="9" a="1"/>
  <c r="H171" i="9" a="1"/>
  <c r="I19" i="9" a="1"/>
  <c r="H51" i="9" a="1"/>
  <c r="D18" i="9" a="1"/>
  <c r="H91" i="9" a="1"/>
  <c r="D4" i="9" a="1"/>
  <c r="H63" i="9" a="1"/>
  <c r="H159" i="9" a="1"/>
  <c r="H145" i="9" a="1"/>
  <c r="H131" i="9" a="1"/>
  <c r="H117" i="9" a="1"/>
  <c r="H105" i="9" a="1"/>
  <c r="H253" i="9" a="1"/>
  <c r="H213" i="9" a="1"/>
  <c r="H77" i="9" a="1"/>
  <c r="H23" i="9" a="1"/>
  <c r="H267" i="9" a="1"/>
  <c r="H239" i="9" a="1"/>
  <c r="D4" i="9" l="1"/>
  <c r="N159" i="9"/>
  <c r="D253" i="9"/>
  <c r="Q2" i="9"/>
  <c r="N37" i="9"/>
  <c r="N145" i="9"/>
  <c r="D225" i="9"/>
  <c r="D213" i="9"/>
  <c r="D105" i="9"/>
  <c r="M105" i="9" s="1"/>
  <c r="D9" i="9"/>
  <c r="M9" i="9" s="1"/>
  <c r="D51" i="9"/>
  <c r="D131" i="9"/>
  <c r="N117" i="9"/>
  <c r="Q2" i="30"/>
  <c r="Q16" i="9"/>
  <c r="N77" i="9"/>
  <c r="N171" i="9"/>
  <c r="Q30" i="9"/>
  <c r="D91" i="9"/>
  <c r="M91" i="9" s="1"/>
  <c r="D185" i="9"/>
  <c r="D267" i="9"/>
  <c r="D23" i="9"/>
  <c r="F19" i="9" s="1"/>
  <c r="O19" i="9" s="1"/>
  <c r="N63" i="9"/>
  <c r="D239" i="9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S15" i="1"/>
  <c r="S17" i="1"/>
  <c r="S13" i="1"/>
  <c r="S20" i="1"/>
  <c r="S16" i="1"/>
  <c r="S12" i="1"/>
  <c r="S18" i="1"/>
  <c r="S14" i="1"/>
  <c r="S19" i="1"/>
  <c r="M171" i="9"/>
  <c r="M199" i="9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56" i="9" a="1"/>
  <c r="D142" i="9" a="1"/>
  <c r="D250" i="9" a="1"/>
  <c r="D182" i="9" a="1"/>
  <c r="D48" i="9" a="1"/>
  <c r="D60" i="9" a="1"/>
  <c r="D264" i="9" a="1"/>
  <c r="D196" i="9" a="1"/>
  <c r="D34" i="9" a="1"/>
  <c r="D74" i="9" a="1"/>
  <c r="D168" i="9" a="1"/>
  <c r="D236" i="9" a="1"/>
  <c r="D114" i="9" a="1"/>
  <c r="D128" i="9" a="1"/>
  <c r="D210" i="9" a="1"/>
  <c r="D264" i="9" l="1"/>
  <c r="M264" i="9" s="1"/>
  <c r="D236" i="9"/>
  <c r="M236" i="9" s="1"/>
  <c r="D250" i="9"/>
  <c r="M250" i="9" s="1"/>
  <c r="D210" i="9"/>
  <c r="M210" i="9" s="1"/>
  <c r="D182" i="9"/>
  <c r="M182" i="9" s="1"/>
  <c r="D168" i="9"/>
  <c r="D196" i="9"/>
  <c r="D156" i="9"/>
  <c r="D142" i="9"/>
  <c r="M253" i="9"/>
  <c r="M225" i="9"/>
  <c r="M51" i="9"/>
  <c r="M213" i="9"/>
  <c r="F5" i="9"/>
  <c r="O5" i="9" s="1"/>
  <c r="M131" i="9"/>
  <c r="M239" i="9"/>
  <c r="M185" i="9"/>
  <c r="M23" i="9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88" i="9" a="1"/>
  <c r="D102" i="9" a="1"/>
  <c r="D222" i="9" a="1"/>
  <c r="D20" i="9" a="1"/>
  <c r="D263" i="9" l="1"/>
  <c r="M263" i="9" s="1"/>
  <c r="D249" i="9"/>
  <c r="M249" i="9" s="1"/>
  <c r="D235" i="9"/>
  <c r="M235" i="9" s="1"/>
  <c r="D222" i="9"/>
  <c r="D209" i="9"/>
  <c r="M209" i="9" s="1"/>
  <c r="D181" i="9"/>
  <c r="M181" i="9" s="1"/>
  <c r="M196" i="9"/>
  <c r="D195" i="9"/>
  <c r="M195" i="9" s="1"/>
  <c r="M168" i="9"/>
  <c r="D167" i="9"/>
  <c r="M167" i="9" s="1"/>
  <c r="M156" i="9"/>
  <c r="D155" i="9"/>
  <c r="M155" i="9" s="1"/>
  <c r="M142" i="9"/>
  <c r="D141" i="9"/>
  <c r="M141" i="9" s="1"/>
  <c r="D88" i="9"/>
  <c r="M88" i="9" s="1"/>
  <c r="D102" i="9"/>
  <c r="M102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22" i="9" l="1"/>
  <c r="D221" i="9"/>
  <c r="M221" i="9" s="1"/>
  <c r="D87" i="9"/>
  <c r="M87" i="9" s="1"/>
  <c r="D101" i="9"/>
  <c r="M101" i="9" s="1"/>
  <c r="M20" i="9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F19" i="15"/>
  <c r="J19" i="15" s="1"/>
  <c r="F20" i="15"/>
  <c r="L20" i="15" s="1"/>
  <c r="F21" i="15"/>
  <c r="L21" i="15" s="1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U17" i="15" s="1"/>
  <c r="D18" i="15"/>
  <c r="D19" i="15"/>
  <c r="U19" i="15" s="1"/>
  <c r="D20" i="15"/>
  <c r="U20" i="15" s="1"/>
  <c r="D21" i="15"/>
  <c r="U21" i="15" s="1"/>
  <c r="D22" i="15"/>
  <c r="D23" i="15"/>
  <c r="D24" i="15"/>
  <c r="D25" i="15"/>
  <c r="U25" i="15" s="1"/>
  <c r="D26" i="15"/>
  <c r="D27" i="15"/>
  <c r="U27" i="15" s="1"/>
  <c r="D28" i="15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30" i="9" a="1"/>
  <c r="F16" i="9" a="1"/>
  <c r="U28" i="15" l="1"/>
  <c r="U24" i="15"/>
  <c r="L18" i="15"/>
  <c r="U14" i="15"/>
  <c r="L11" i="15"/>
  <c r="U30" i="15"/>
  <c r="U18" i="15"/>
  <c r="L22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18" i="9" a="1"/>
  <c r="H254" i="9" a="1"/>
  <c r="H106" i="9" a="1"/>
  <c r="H240" i="9" a="1"/>
  <c r="H226" i="9" a="1"/>
  <c r="H186" i="9" a="1"/>
  <c r="H214" i="9" a="1"/>
  <c r="H160" i="9" a="1"/>
  <c r="H268" i="9" a="1"/>
  <c r="H200" i="9" a="1"/>
  <c r="H132" i="9" a="1"/>
  <c r="H64" i="9" a="1"/>
  <c r="H172" i="9" a="1"/>
  <c r="H146" i="9" a="1"/>
  <c r="H78" i="9" a="1"/>
  <c r="H52" i="9" a="1"/>
  <c r="H92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BA18" i="1"/>
  <c r="BB18" i="1" s="1"/>
  <c r="BA14" i="1"/>
  <c r="AA14" i="1" s="1"/>
  <c r="AA15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5" i="1"/>
  <c r="Q15" i="1" s="1"/>
  <c r="BB19" i="1"/>
  <c r="Q19" i="1" s="1"/>
  <c r="BB22" i="1"/>
  <c r="Q22" i="1" s="1"/>
  <c r="AA22" i="1"/>
  <c r="BB27" i="1"/>
  <c r="Q27" i="1" s="1"/>
  <c r="AA27" i="1"/>
  <c r="BB21" i="1"/>
  <c r="Q21" i="1" s="1"/>
  <c r="AA21" i="1"/>
  <c r="BB16" i="1"/>
  <c r="Q16" i="1" s="1"/>
  <c r="BB26" i="1"/>
  <c r="Q26" i="1" s="1"/>
  <c r="AA26" i="1"/>
  <c r="BB24" i="1"/>
  <c r="Q24" i="1" s="1"/>
  <c r="AA24" i="1"/>
  <c r="BB29" i="1"/>
  <c r="Q29" i="1" s="1"/>
  <c r="AA29" i="1"/>
  <c r="BB20" i="1"/>
  <c r="Q20" i="1" s="1"/>
  <c r="BB30" i="1"/>
  <c r="Q30" i="1" s="1"/>
  <c r="AA30" i="1"/>
  <c r="BB28" i="1"/>
  <c r="Q28" i="1" s="1"/>
  <c r="AA28" i="1"/>
  <c r="BB14" i="1"/>
  <c r="Q14" i="1" s="1"/>
  <c r="BB25" i="1"/>
  <c r="Q25" i="1" s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D58" i="9" a="1"/>
  <c r="I169" i="9" a="1"/>
  <c r="I195" i="9" a="1"/>
  <c r="I7" i="9" a="1"/>
  <c r="I237" i="9" a="1"/>
  <c r="I143" i="9" a="1"/>
  <c r="I211" i="9" a="1"/>
  <c r="I265" i="9" a="1"/>
  <c r="I115" i="9" a="1"/>
  <c r="I251" i="9" a="1"/>
  <c r="I35" i="9" a="1"/>
  <c r="I49" i="9" a="1"/>
  <c r="I21" i="9" a="1"/>
  <c r="D194" i="9" a="1"/>
  <c r="D180" i="9" a="1"/>
  <c r="D208" i="9" a="1"/>
  <c r="D86" i="9" a="1"/>
  <c r="I183" i="9" a="1"/>
  <c r="I221" i="9" a="1"/>
  <c r="I249" i="9" a="1"/>
  <c r="I113" i="9" a="1"/>
  <c r="I209" i="9" a="1"/>
  <c r="I197" i="9" a="1"/>
  <c r="I129" i="9" a="1"/>
  <c r="I167" i="9" a="1"/>
  <c r="I87" i="9" a="1"/>
  <c r="I103" i="9" a="1"/>
  <c r="I101" i="9" a="1"/>
  <c r="I181" i="9" a="1"/>
  <c r="D248" i="9" a="1"/>
  <c r="D234" i="9" a="1"/>
  <c r="D126" i="9" a="1"/>
  <c r="D72" i="9" a="1"/>
  <c r="I75" i="9" a="1"/>
  <c r="I263" i="9" a="1"/>
  <c r="I73" i="9" a="1"/>
  <c r="I47" i="9" a="1"/>
  <c r="D100" i="9" a="1"/>
  <c r="I157" i="9" a="1"/>
  <c r="D46" i="9" a="1"/>
  <c r="I141" i="9" a="1"/>
  <c r="I59" i="9" a="1"/>
  <c r="I127" i="9" a="1"/>
  <c r="D262" i="9" a="1"/>
  <c r="I89" i="9" a="1"/>
  <c r="D220" i="9" a="1"/>
  <c r="D112" i="9" a="1"/>
  <c r="I61" i="9" a="1"/>
  <c r="D140" i="9" a="1"/>
  <c r="I223" i="9" a="1"/>
  <c r="D154" i="9" a="1"/>
  <c r="I235" i="9" a="1"/>
  <c r="D166" i="9" a="1"/>
  <c r="I155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AD30" i="1" s="1"/>
  <c r="O30" i="1"/>
  <c r="AE30" i="1" s="1"/>
  <c r="BG30" i="1"/>
  <c r="K29" i="1"/>
  <c r="AD29" i="1" s="1"/>
  <c r="O29" i="1"/>
  <c r="AE29" i="1" s="1"/>
  <c r="K28" i="1"/>
  <c r="AD28" i="1" s="1"/>
  <c r="O28" i="1"/>
  <c r="BG29" i="1"/>
  <c r="BH29" i="1" s="1"/>
  <c r="BG28" i="1"/>
  <c r="BH28" i="1" s="1"/>
  <c r="K27" i="1"/>
  <c r="AD27" i="1" s="1"/>
  <c r="O27" i="1"/>
  <c r="BG27" i="1"/>
  <c r="BH27" i="1" s="1"/>
  <c r="K26" i="1"/>
  <c r="AD26" i="1" s="1"/>
  <c r="AE26" i="1" s="1"/>
  <c r="O26" i="1"/>
  <c r="BG26" i="1"/>
  <c r="BG25" i="1"/>
  <c r="BH25" i="1" s="1"/>
  <c r="K25" i="1"/>
  <c r="AD25" i="1" s="1"/>
  <c r="K24" i="1"/>
  <c r="AD24" i="1" s="1"/>
  <c r="O24" i="1"/>
  <c r="AE24" i="1" s="1"/>
  <c r="BG24" i="1"/>
  <c r="BH24" i="1" s="1"/>
  <c r="K23" i="1"/>
  <c r="AD23" i="1" s="1"/>
  <c r="O23" i="1"/>
  <c r="AE23" i="1" s="1"/>
  <c r="BG23" i="1"/>
  <c r="BH23" i="1" s="1"/>
  <c r="BG22" i="1"/>
  <c r="K22" i="1"/>
  <c r="AD22" i="1" s="1"/>
  <c r="AE22" i="1" s="1"/>
  <c r="K21" i="1"/>
  <c r="AD21" i="1" s="1"/>
  <c r="AE21" i="1" s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AE25" i="1" s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84" i="9" a="1"/>
  <c r="H218" i="9" a="1"/>
  <c r="D206" i="9" a="1"/>
  <c r="H164" i="9" a="1"/>
  <c r="H44" i="9" a="1"/>
  <c r="H192" i="9" a="1"/>
  <c r="D44" i="9" a="1"/>
  <c r="D56" i="9" a="1"/>
  <c r="H98" i="9" a="1"/>
  <c r="D138" i="9" a="1"/>
  <c r="H232" i="9" a="1"/>
  <c r="D16" i="9" a="1"/>
  <c r="H56" i="9" a="1"/>
  <c r="D164" i="9" a="1"/>
  <c r="D110" i="9" a="1"/>
  <c r="D70" i="9" a="1"/>
  <c r="H138" i="9" a="1"/>
  <c r="D260" i="9" a="1"/>
  <c r="D218" i="9" a="1"/>
  <c r="H246" i="9" a="1"/>
  <c r="H178" i="9" a="1"/>
  <c r="D178" i="9" a="1"/>
  <c r="H260" i="9" a="1"/>
  <c r="H152" i="9" a="1"/>
  <c r="D124" i="9" a="1"/>
  <c r="D98" i="9" a="1"/>
  <c r="D152" i="9" a="1"/>
  <c r="D232" i="9" a="1"/>
  <c r="H110" i="9" a="1"/>
  <c r="H206" i="9" a="1"/>
  <c r="D30" i="9" a="1"/>
  <c r="D246" i="9" a="1"/>
  <c r="H70" i="9" a="1"/>
  <c r="D84" i="9" a="1"/>
  <c r="H124" i="9" a="1"/>
  <c r="D192" i="9" a="1"/>
  <c r="C87" i="13" l="1"/>
  <c r="AP30" i="1"/>
  <c r="AE28" i="1"/>
  <c r="C86" i="13"/>
  <c r="AP29" i="1"/>
  <c r="AE27" i="1"/>
  <c r="C84" i="13"/>
  <c r="AP27" i="1"/>
  <c r="AP26" i="1"/>
  <c r="C83" i="13"/>
  <c r="C80" i="13"/>
  <c r="AP23" i="1"/>
  <c r="C82" i="13"/>
  <c r="AP25" i="1"/>
  <c r="C81" i="13"/>
  <c r="AP24" i="1"/>
  <c r="AP22" i="1"/>
  <c r="C79" i="13"/>
  <c r="AP21" i="1"/>
  <c r="C78" i="13"/>
  <c r="D138" i="9"/>
  <c r="D139" i="9" s="1"/>
  <c r="H164" i="9"/>
  <c r="F167" i="9" s="1"/>
  <c r="O167" i="9" s="1"/>
  <c r="D178" i="9"/>
  <c r="D179" i="9" s="1"/>
  <c r="H206" i="9"/>
  <c r="F209" i="9" s="1"/>
  <c r="O209" i="9" s="1"/>
  <c r="D218" i="9"/>
  <c r="D219" i="9" s="1"/>
  <c r="D232" i="9"/>
  <c r="D233" i="9" s="1"/>
  <c r="H260" i="9"/>
  <c r="F263" i="9" s="1"/>
  <c r="O263" i="9" s="1"/>
  <c r="H152" i="9"/>
  <c r="F155" i="9" s="1"/>
  <c r="O155" i="9" s="1"/>
  <c r="H192" i="9"/>
  <c r="F195" i="9" s="1"/>
  <c r="O195" i="9" s="1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F249" i="9" s="1"/>
  <c r="O249" i="9" s="1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F221" i="9" s="1"/>
  <c r="O221" i="9" s="1"/>
  <c r="H232" i="9"/>
  <c r="F235" i="9" s="1"/>
  <c r="O235" i="9" s="1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C85" i="13" l="1"/>
  <c r="AP28" i="1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BE26" i="1" l="1"/>
  <c r="AC26" i="1" s="1"/>
  <c r="AO26" i="1" s="1"/>
  <c r="AR26" i="1" s="1"/>
  <c r="AM28" i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<sst xmlns="http://schemas.openxmlformats.org/spreadsheetml/2006/main" count="4613" uniqueCount="2633">
  <si>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</si>
  <si>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</si>
  <si>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</si>
  <si>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</si>
  <si>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</si>
  <si>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</si>
  <si>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</si>
  <si>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</si>
  <si>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</si>
  <si>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</si>
  <si>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</si>
  <si>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</si>
  <si>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</si>
  <si>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</si>
  <si>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</si>
  <si>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</si>
  <si>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</si>
  <si>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</si>
  <si>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</si>
  <si>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</si>
  <si>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</si>
  <si>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</si>
  <si>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</si>
  <si>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</si>
  <si>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</si>
  <si>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</si>
  <si>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</si>
  <si>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</si>
  <si>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</si>
  <si>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</si>
  <si>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</si>
  <si>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</si>
  <si>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</si>
  <si>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</si>
  <si>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</si>
  <si>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</si>
  <si>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</si>
  <si>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</si>
  <si>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</si>
  <si>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</si>
  <si>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</si>
  <si>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</si>
  <si>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</si>
  <si>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</si>
  <si>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</si>
  <si>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</si>
  <si>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</si>
  <si>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</si>
  <si>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</si>
  <si>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</si>
  <si>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</si>
  <si>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</si>
  <si>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</si>
  <si>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</si>
  <si>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</si>
  <si>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</si>
  <si>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</si>
  <si>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</si>
  <si>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</si>
  <si>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</si>
  <si>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</si>
  <si>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</si>
  <si>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</si>
  <si>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</si>
  <si>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</si>
  <si>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</si>
  <si>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</si>
  <si>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</si>
  <si>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</si>
  <si>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</si>
  <si>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</si>
  <si>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</si>
  <si>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</si>
  <si>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</si>
  <si>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</si>
  <si>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</si>
  <si>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</si>
  <si>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</si>
  <si>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</si>
  <si>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</si>
  <si>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</si>
  <si>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</si>
  <si>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</si>
  <si>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</si>
  <si>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</si>
  <si>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</si>
  <si>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</si>
  <si>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</si>
  <si>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</si>
  <si>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</si>
  <si>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</si>
  <si>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</si>
  <si>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</si>
  <si>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</si>
  <si>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</si>
  <si>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</si>
  <si>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</si>
  <si>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</si>
  <si>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</si>
  <si>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</si>
  <si>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</si>
  <si>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</si>
  <si>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</si>
  <si>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</si>
  <si>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</si>
  <si>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</si>
  <si>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</si>
  <si>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</si>
  <si>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</si>
  <si>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</si>
  <si>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</si>
  <si>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</si>
  <si>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</si>
  <si>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</si>
  <si>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</si>
  <si>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</si>
  <si>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</si>
  <si>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</si>
  <si>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</si>
  <si>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</si>
  <si>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</si>
  <si>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</si>
  <si>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</si>
  <si>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</si>
  <si>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</si>
  <si>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</si>
  <si>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</si>
  <si>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</si>
  <si>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</si>
  <si>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</si>
  <si>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</si>
  <si>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</si>
  <si>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</si>
  <si>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</si>
  <si>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</si>
  <si>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</si>
  <si>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</si>
  <si>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</si>
  <si>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</si>
  <si>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</si>
  <si>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</si>
  <si>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</si>
  <si>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</si>
  <si>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</si>
  <si>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</si>
  <si>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</si>
  <si>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</si>
  <si>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</si>
  <si>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</si>
  <si>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</si>
  <si>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</si>
  <si>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</si>
  <si>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</si>
  <si>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</si>
  <si>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</si>
  <si>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</si>
  <si>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</si>
  <si>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</si>
  <si>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</si>
  <si>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</si>
  <si>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</si>
  <si>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</si>
  <si>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</si>
  <si>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</si>
  <si>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</si>
  <si>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</si>
  <si>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</si>
  <si>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</si>
  <si>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</si>
  <si>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</si>
  <si>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</si>
  <si>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</si>
  <si>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</si>
  <si>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</si>
  <si>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</si>
  <si>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</si>
  <si>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</si>
  <si>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</si>
  <si>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</si>
  <si>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</si>
  <si>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</si>
  <si>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</si>
  <si>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</si>
  <si>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</si>
  <si>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</si>
  <si>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</si>
  <si>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</si>
  <si>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</si>
  <si>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</si>
  <si>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</si>
  <si>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</si>
  <si>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</si>
  <si>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</si>
  <si>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</si>
  <si>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</si>
  <si>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</si>
  <si>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</si>
  <si>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</si>
  <si>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</si>
  <si>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</si>
  <si>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</si>
  <si>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</si>
  <si>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</si>
  <si>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</si>
  <si>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</si>
  <si>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</si>
  <si>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</si>
  <si>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</si>
  <si>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</si>
  <si>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</si>
  <si>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</si>
  <si>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</si>
  <si>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</si>
  <si>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</si>
  <si>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</si>
  <si>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</si>
  <si>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</si>
  <si>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</si>
  <si>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</si>
  <si>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</si>
  <si>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</si>
  <si>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</si>
  <si>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</si>
  <si>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</si>
  <si>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</si>
  <si>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</si>
  <si>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</si>
  <si>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</si>
  <si>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</si>
  <si>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</si>
  <si>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</si>
  <si>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</si>
  <si>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</si>
  <si>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</si>
  <si>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</si>
  <si>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</si>
  <si>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</si>
  <si>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</si>
  <si>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</si>
  <si>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</si>
  <si>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</si>
  <si>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</si>
  <si>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</si>
  <si>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</si>
  <si>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</si>
  <si>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</si>
  <si>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</si>
  <si>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</si>
  <si>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</si>
  <si>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</si>
  <si>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</si>
  <si>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</si>
  <si>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</si>
  <si>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</si>
  <si>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</si>
  <si>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</si>
  <si>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</si>
  <si>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</si>
  <si>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</si>
  <si>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</si>
  <si>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</si>
  <si>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</si>
  <si>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</si>
  <si>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</si>
  <si>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</si>
  <si>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</si>
  <si>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</si>
  <si>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</si>
  <si>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</si>
  <si>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</si>
  <si>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</si>
  <si>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</si>
  <si>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</si>
  <si>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</si>
  <si>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</si>
  <si>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</si>
  <si>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</si>
  <si>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</si>
  <si>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</si>
  <si>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</si>
  <si>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</si>
  <si>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</si>
  <si>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</si>
  <si>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</si>
  <si>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</si>
  <si>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</si>
  <si>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</si>
  <si>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</si>
  <si>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</si>
  <si>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</si>
  <si>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</si>
  <si>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</si>
  <si>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</si>
  <si>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</si>
  <si>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</si>
  <si>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</si>
  <si>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</si>
  <si>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</si>
  <si>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</si>
  <si>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</si>
  <si>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</si>
  <si>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</si>
  <si>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</si>
  <si>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</si>
  <si>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</si>
  <si>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</si>
  <si>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</si>
  <si>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</si>
  <si>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</si>
  <si>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</si>
  <si>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</si>
  <si>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</si>
  <si>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</si>
  <si>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</si>
  <si>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</si>
  <si>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</si>
  <si>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</si>
  <si>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</si>
  <si>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</si>
  <si>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</si>
  <si>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</si>
  <si>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</si>
  <si>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</si>
  <si>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</si>
  <si>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</si>
  <si>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</si>
  <si>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</si>
  <si>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</si>
  <si>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</si>
  <si>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</si>
  <si>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</si>
  <si>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</si>
  <si>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</si>
  <si>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</si>
  <si>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</si>
  <si>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</si>
  <si>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</si>
  <si>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</si>
  <si>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</si>
  <si>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</si>
  <si>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</si>
  <si>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</si>
  <si>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</si>
  <si>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</si>
  <si>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</si>
  <si>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</si>
  <si>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</si>
  <si>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</si>
  <si>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</si>
  <si>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</si>
  <si>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</si>
  <si>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</si>
  <si>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</si>
  <si>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</si>
  <si>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</si>
  <si>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</si>
  <si>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</si>
  <si>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</si>
  <si>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</si>
  <si>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</si>
  <si>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</si>
  <si>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</si>
  <si>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</si>
  <si>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</si>
  <si>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</si>
  <si>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</si>
  <si>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</si>
  <si>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</si>
  <si>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</si>
  <si>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</si>
  <si>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</si>
  <si>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</si>
  <si>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</si>
  <si>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</si>
  <si>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</si>
  <si>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</si>
  <si>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</si>
  <si>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</si>
  <si>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</si>
  <si>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</si>
  <si>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</si>
  <si>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</si>
  <si>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</si>
  <si>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</si>
  <si>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</si>
  <si>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</si>
  <si>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</si>
  <si>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</si>
  <si>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</si>
  <si>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</si>
  <si>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</si>
  <si>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</si>
  <si>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</si>
  <si>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</si>
  <si>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</si>
  <si>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</si>
  <si>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</si>
  <si>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</si>
  <si>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</si>
  <si>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</si>
  <si>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</si>
  <si>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</si>
  <si>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</si>
  <si>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</si>
  <si>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</si>
  <si>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</si>
  <si>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</si>
  <si>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</si>
  <si>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</si>
  <si>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</si>
  <si>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</si>
  <si>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</si>
  <si>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</si>
  <si>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</si>
  <si>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</si>
  <si>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</si>
  <si>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</si>
  <si>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</si>
  <si>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</si>
  <si>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</si>
  <si>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</si>
  <si>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</si>
  <si>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</si>
  <si>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</si>
  <si>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</si>
  <si>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</si>
  <si>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</si>
  <si>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</si>
  <si>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</si>
  <si>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</si>
  <si>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</si>
  <si>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</si>
  <si>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</si>
  <si>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</si>
  <si>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</si>
  <si>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</si>
  <si>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</si>
  <si>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</si>
  <si>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</si>
  <si>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</si>
  <si>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</si>
  <si>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</si>
  <si>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</si>
  <si>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</si>
  <si>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</si>
  <si>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</si>
  <si>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</si>
  <si>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</si>
  <si>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</si>
  <si>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</si>
  <si>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</si>
  <si>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</si>
  <si>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</si>
  <si>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</si>
  <si>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</si>
  <si>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</si>
  <si>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</si>
  <si>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</si>
  <si>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</si>
  <si>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</si>
  <si>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</si>
  <si>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</si>
  <si>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</si>
  <si>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</si>
  <si>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</si>
  <si>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</si>
  <si>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</si>
  <si>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</si>
  <si>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</si>
  <si>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</si>
  <si>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</si>
  <si>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</si>
  <si>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</si>
  <si>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</si>
  <si>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</si>
  <si>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</si>
  <si>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</si>
  <si>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</si>
  <si>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</si>
  <si>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</si>
  <si>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</si>
  <si>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</si>
  <si>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</si>
  <si>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</si>
  <si>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</si>
  <si>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</si>
  <si>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</si>
  <si>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</si>
  <si>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</si>
  <si>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</si>
  <si>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</si>
  <si>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</si>
  <si>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</si>
  <si>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</si>
  <si>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</si>
  <si>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</si>
  <si>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</si>
  <si>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</si>
  <si>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</si>
  <si>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</si>
  <si>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</si>
  <si>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</si>
  <si>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</si>
  <si>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</si>
  <si>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</si>
  <si>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</si>
  <si>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</si>
  <si>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</si>
  <si>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</si>
  <si>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</si>
  <si>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</si>
  <si>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</si>
  <si>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</si>
  <si>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</si>
  <si>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</si>
  <si>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</si>
  <si>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</si>
  <si>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</si>
  <si>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</si>
  <si>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</si>
  <si>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</si>
  <si>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</si>
  <si>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</si>
  <si>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</si>
  <si>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</si>
  <si>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</si>
  <si>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</si>
  <si>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</si>
  <si>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</si>
  <si>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</si>
  <si>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</si>
  <si>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</si>
  <si>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</si>
  <si>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</si>
  <si>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</si>
  <si>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</si>
  <si>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</si>
  <si>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</si>
  <si>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</si>
  <si>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</si>
  <si>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</si>
  <si>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</si>
  <si>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</si>
  <si>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</si>
  <si>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</si>
  <si>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</si>
  <si>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</si>
  <si>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</si>
  <si>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</si>
  <si>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</si>
  <si>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</si>
  <si>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</si>
  <si>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</si>
  <si>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</si>
  <si>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</si>
  <si>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</si>
  <si>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</si>
  <si>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</si>
  <si>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</si>
  <si>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</si>
  <si>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</si>
  <si>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</si>
  <si>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</si>
  <si>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</si>
  <si>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</si>
  <si>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</si>
  <si>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</si>
  <si>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</si>
  <si>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</si>
  <si>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</si>
  <si>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</si>
  <si>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</si>
  <si>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</si>
  <si>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</si>
  <si>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</si>
  <si>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</si>
  <si>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</si>
  <si>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</si>
  <si>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</si>
  <si>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</si>
  <si>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</si>
  <si>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</si>
  <si>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</si>
  <si>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</si>
  <si>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</si>
  <si>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</si>
  <si>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</si>
  <si>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</si>
  <si>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</si>
  <si>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</si>
  <si>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</si>
  <si>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</si>
  <si>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</si>
  <si>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</si>
  <si>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</si>
  <si>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</si>
  <si>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</si>
  <si>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</si>
  <si>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</si>
  <si>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</si>
  <si>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</si>
  <si>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</si>
  <si>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</si>
  <si>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</si>
  <si>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</si>
  <si>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</si>
  <si>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</si>
  <si>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</si>
  <si>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</si>
  <si>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</si>
  <si>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</si>
  <si>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</si>
  <si>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</si>
  <si>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</si>
  <si>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</si>
  <si>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</si>
  <si>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</si>
  <si>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</si>
  <si>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</si>
  <si>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</si>
  <si>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</si>
  <si>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</si>
  <si>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</si>
  <si>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</si>
  <si>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</si>
  <si>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</si>
  <si>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</si>
  <si>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</si>
  <si>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</si>
  <si>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</si>
  <si>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</si>
  <si>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</si>
  <si>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</si>
  <si>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</si>
  <si>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</si>
  <si>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</si>
  <si>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</si>
  <si>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</si>
  <si>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</si>
  <si>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</si>
  <si>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</si>
  <si>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</si>
  <si>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</si>
  <si>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</si>
  <si>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</si>
  <si>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</si>
  <si>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</si>
  <si>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</si>
  <si>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</si>
  <si>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</si>
  <si>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</si>
  <si>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</si>
  <si>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</si>
  <si>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</si>
  <si>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</si>
  <si>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</si>
  <si>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</si>
  <si>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</si>
  <si>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</si>
  <si>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</si>
  <si>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</si>
  <si>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</si>
  <si>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</si>
  <si>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</si>
  <si>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</si>
  <si>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</si>
  <si>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</si>
  <si>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</si>
  <si>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</si>
  <si>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</si>
  <si>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</si>
  <si>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</si>
  <si>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</si>
  <si>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</si>
  <si>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</si>
  <si>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</si>
  <si>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</si>
  <si>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</si>
  <si>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</si>
  <si>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</si>
  <si>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</si>
  <si>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</si>
  <si>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</si>
  <si>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</si>
  <si>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</si>
  <si>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</si>
  <si>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</si>
  <si>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</si>
  <si>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</si>
  <si>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</si>
  <si>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</si>
  <si>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</si>
  <si>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</si>
  <si>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</si>
  <si>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</si>
  <si>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</si>
  <si>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</si>
  <si>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</si>
  <si>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</si>
  <si>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</si>
  <si>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</si>
  <si>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</si>
  <si>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</si>
  <si>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</si>
  <si>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</si>
  <si>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</si>
  <si>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</si>
  <si>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</si>
  <si>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</si>
  <si>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</si>
  <si>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</si>
  <si>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</si>
  <si>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</si>
  <si>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</si>
  <si>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</si>
  <si>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</si>
  <si>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</si>
  <si>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</si>
  <si>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</si>
  <si>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</si>
  <si>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</si>
  <si>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</si>
  <si>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</si>
  <si>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</si>
  <si>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</si>
  <si>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</si>
  <si>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</si>
  <si>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</si>
  <si>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</si>
  <si>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</si>
  <si>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</si>
  <si>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</si>
  <si>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</si>
  <si>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</si>
  <si>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</si>
  <si>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</si>
  <si>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</si>
  <si>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</si>
  <si>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</si>
  <si>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</si>
  <si>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</si>
  <si>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</si>
  <si>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</si>
  <si>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</si>
  <si>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</si>
  <si>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</si>
  <si>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</si>
  <si>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</si>
  <si>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</si>
  <si>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</si>
  <si>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</si>
  <si>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</si>
  <si>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</si>
  <si>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</si>
  <si>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</si>
  <si>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</si>
  <si>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</si>
  <si>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</si>
  <si>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</si>
  <si>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</si>
  <si>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</si>
  <si>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</si>
  <si>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</si>
  <si>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</si>
  <si>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</si>
  <si>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</si>
  <si>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</si>
  <si>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</si>
  <si>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</si>
  <si>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</si>
  <si>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</si>
  <si>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</si>
  <si>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</si>
  <si>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</si>
  <si>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</si>
  <si>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</si>
  <si>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</si>
  <si>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</si>
  <si>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</si>
  <si>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</si>
  <si>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</si>
  <si>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</si>
  <si>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</si>
  <si>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</si>
  <si>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</si>
  <si>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</si>
  <si>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</si>
  <si>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</si>
  <si>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</si>
  <si>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</si>
  <si>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</si>
  <si>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</si>
  <si>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</si>
  <si>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</si>
  <si>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</si>
  <si>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</si>
  <si>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</si>
  <si>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</si>
  <si>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</si>
  <si>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</si>
  <si>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</si>
  <si>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</si>
  <si>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</si>
  <si>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</si>
  <si>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</si>
  <si>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</si>
  <si>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</si>
  <si>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</si>
  <si>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</si>
  <si>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</si>
  <si>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</si>
  <si>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</si>
  <si>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</si>
  <si>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</si>
  <si>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</si>
  <si>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</si>
  <si>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</si>
  <si>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</si>
  <si>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</si>
  <si>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</si>
  <si>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</si>
  <si>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</si>
  <si>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</si>
  <si>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</si>
  <si>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</si>
  <si>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</si>
  <si>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</si>
  <si>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</si>
  <si>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</si>
  <si>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</si>
  <si>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</si>
  <si>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</si>
  <si>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</si>
  <si>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</si>
  <si>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</si>
  <si>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</si>
  <si>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</si>
  <si>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</si>
  <si>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</si>
  <si>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</si>
  <si>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</si>
  <si>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</si>
  <si>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</si>
  <si>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</si>
  <si>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</si>
  <si>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</si>
  <si>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</si>
  <si>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</si>
  <si>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</si>
  <si>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</si>
  <si>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</si>
  <si>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</si>
  <si>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</si>
  <si>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</si>
  <si>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</si>
  <si>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</si>
  <si>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</si>
  <si>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</si>
  <si>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</si>
  <si>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</si>
  <si>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</si>
  <si>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</si>
  <si>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</si>
  <si>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</si>
  <si>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</si>
  <si>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</si>
  <si>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</si>
  <si>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</si>
  <si>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</si>
  <si>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</si>
  <si>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</si>
  <si>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</si>
  <si>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</si>
  <si>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</si>
  <si>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</si>
  <si>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</si>
  <si>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</si>
  <si>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</si>
  <si>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</si>
  <si>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</si>
  <si>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</si>
  <si>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</si>
  <si>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</si>
  <si>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</si>
  <si>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</si>
  <si>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</si>
  <si>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</si>
  <si>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</si>
  <si>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</si>
  <si>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</si>
  <si>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</si>
  <si>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</si>
  <si>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</si>
  <si>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</si>
  <si>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</si>
  <si>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</si>
  <si>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</si>
  <si>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</si>
  <si>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</si>
  <si>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</si>
  <si>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</si>
  <si>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</si>
  <si>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</si>
  <si>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</si>
  <si>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</si>
  <si>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</si>
  <si>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</si>
  <si>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</si>
  <si>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</si>
  <si>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</si>
  <si>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</si>
  <si>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</si>
  <si>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</si>
  <si>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</si>
  <si>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</si>
  <si>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</si>
  <si>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</si>
  <si>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</si>
  <si>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</si>
  <si>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</si>
  <si>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</si>
  <si>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</si>
  <si>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</si>
  <si>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</si>
  <si>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</si>
  <si>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</si>
  <si>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</si>
  <si>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</si>
  <si>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</si>
  <si>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</si>
  <si>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</si>
  <si>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</si>
  <si>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</si>
  <si>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</si>
  <si>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</si>
  <si>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</si>
  <si>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</si>
  <si>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</si>
  <si>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</si>
  <si>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</si>
  <si>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</si>
  <si>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</si>
  <si>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</si>
  <si>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</si>
  <si>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</si>
  <si>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</si>
  <si>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</si>
  <si>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</si>
  <si>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</si>
  <si>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</si>
  <si>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</si>
  <si>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</si>
  <si>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</si>
  <si>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</si>
  <si>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</si>
  <si>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</si>
  <si>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</si>
  <si>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</si>
  <si>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</si>
  <si>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</si>
  <si>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</si>
  <si>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</si>
  <si>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</si>
  <si>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</si>
  <si>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</si>
  <si>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</si>
  <si>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</si>
  <si>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</si>
  <si>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</si>
  <si>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</si>
  <si>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</si>
  <si>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</si>
  <si>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</si>
  <si>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</si>
  <si>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</si>
  <si>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</si>
  <si>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</si>
  <si>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</si>
  <si>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</si>
  <si>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</si>
  <si>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</si>
  <si>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</si>
  <si>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</si>
  <si>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</si>
  <si>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</si>
  <si>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</si>
  <si>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</si>
  <si>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</si>
  <si>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</si>
  <si>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</si>
  <si>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</si>
  <si>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</si>
  <si>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</si>
  <si>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</si>
  <si>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</si>
  <si>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</si>
  <si>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</si>
  <si>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</si>
  <si>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</si>
  <si>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</si>
  <si>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</si>
  <si>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</si>
  <si>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</si>
  <si>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</si>
  <si>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</si>
  <si>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</si>
  <si>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</si>
  <si>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</si>
  <si>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</si>
  <si>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</si>
  <si>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</si>
  <si>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</si>
  <si>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</si>
  <si>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</si>
  <si>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</si>
  <si>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</si>
  <si>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</si>
  <si>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</si>
  <si>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</si>
  <si>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</si>
  <si>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</si>
  <si>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</si>
  <si>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</si>
  <si>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</si>
  <si>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</si>
  <si>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</si>
  <si>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</si>
  <si>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</si>
  <si>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</si>
  <si>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</si>
  <si>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</si>
  <si>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</si>
  <si>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</si>
  <si>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</si>
  <si>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</si>
  <si>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</si>
  <si>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</si>
  <si>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</si>
  <si>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</si>
  <si>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</si>
  <si>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</si>
  <si>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</si>
  <si>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</si>
  <si>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</si>
  <si>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</si>
  <si>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</si>
  <si>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</si>
  <si>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</si>
  <si>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</si>
  <si>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</si>
  <si>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</si>
  <si>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</si>
  <si>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</si>
  <si>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</si>
  <si>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</si>
  <si>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</si>
  <si>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</si>
  <si>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</si>
  <si>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</si>
  <si>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</si>
  <si>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</si>
  <si>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</si>
  <si>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</si>
  <si>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</si>
  <si>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</si>
  <si>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</si>
  <si>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</si>
  <si>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</si>
  <si>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</si>
  <si>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</si>
  <si>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</si>
  <si>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</si>
  <si>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</si>
  <si>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</si>
  <si>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</si>
  <si>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</si>
  <si>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</si>
  <si>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</si>
  <si>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</si>
  <si>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</si>
  <si>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</si>
  <si>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</si>
  <si>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</si>
  <si>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</si>
  <si>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</si>
  <si>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</si>
  <si>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</si>
  <si>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</si>
  <si>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</si>
  <si>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</si>
  <si>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</si>
  <si>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</si>
  <si>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</si>
  <si>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</si>
  <si>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</si>
  <si>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</si>
  <si>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</si>
  <si>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</si>
  <si>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</si>
  <si>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</si>
  <si>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</si>
  <si>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</si>
  <si>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</si>
  <si>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</si>
  <si>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</si>
  <si>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</si>
  <si>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</si>
  <si>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</si>
  <si>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</si>
  <si>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</si>
  <si>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</si>
  <si>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</si>
  <si>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</si>
  <si>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</si>
  <si>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</si>
  <si>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</si>
  <si>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</si>
  <si>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</si>
  <si>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</si>
  <si>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</si>
  <si>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</si>
  <si>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</si>
  <si>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</si>
  <si>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</si>
  <si>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</si>
  <si>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</si>
  <si>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</si>
  <si>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</si>
  <si>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</si>
  <si>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</si>
  <si>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</si>
  <si>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</si>
  <si>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</si>
  <si>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</si>
  <si>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</si>
  <si>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</si>
  <si>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</si>
  <si>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</si>
  <si>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</si>
  <si>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</si>
  <si>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</si>
  <si>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</si>
  <si>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</si>
  <si>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</si>
  <si>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</si>
  <si>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</si>
  <si>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</si>
  <si>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</si>
  <si>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</si>
  <si>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</si>
  <si>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</si>
  <si>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</si>
  <si>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</si>
  <si>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</si>
  <si>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</si>
  <si>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</si>
  <si>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</si>
  <si>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</si>
  <si>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</si>
  <si>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</si>
  <si>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</si>
  <si>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</si>
  <si>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</si>
  <si>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</si>
  <si>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</si>
  <si>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</si>
  <si>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</si>
  <si>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</si>
  <si>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</si>
  <si>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</si>
  <si>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</si>
  <si>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</si>
  <si>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</si>
  <si>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</si>
  <si>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</si>
  <si>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</si>
  <si>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</si>
  <si>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</si>
  <si>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</si>
  <si>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</si>
  <si>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</si>
  <si>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</si>
  <si>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</si>
  <si>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</si>
  <si>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</si>
  <si>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</si>
  <si>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</si>
  <si>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</si>
  <si>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</si>
  <si>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</si>
  <si>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</si>
  <si>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</si>
  <si>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</si>
  <si>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</si>
  <si>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</si>
  <si>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</si>
  <si>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</si>
  <si>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</si>
  <si>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</si>
  <si>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</si>
  <si>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</si>
  <si>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</si>
  <si>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</si>
  <si>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</si>
  <si>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</si>
  <si>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</si>
  <si>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</si>
  <si>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</si>
  <si>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</si>
  <si>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</si>
  <si>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</si>
  <si>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</si>
  <si>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</si>
  <si>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</si>
  <si>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</si>
  <si>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</si>
  <si>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</si>
  <si>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</si>
  <si>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</si>
  <si>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</si>
  <si>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</si>
  <si>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</si>
  <si>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</si>
  <si>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</si>
  <si>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</si>
  <si>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</si>
  <si>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</si>
  <si>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</si>
  <si>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</si>
  <si>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</si>
  <si>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</si>
  <si>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</si>
  <si>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</si>
  <si>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</si>
  <si>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</si>
  <si>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</si>
  <si>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</si>
  <si>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</si>
  <si>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</si>
  <si>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</si>
  <si>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</si>
  <si>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</si>
  <si>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</si>
  <si>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</si>
  <si>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</si>
  <si>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</si>
  <si>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</si>
  <si>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</si>
  <si>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</si>
  <si>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</si>
  <si>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</si>
  <si>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</si>
  <si>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</si>
  <si>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</si>
  <si>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</si>
  <si>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</si>
  <si>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</si>
  <si>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</si>
  <si>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</si>
  <si>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</si>
  <si>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</si>
  <si>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</si>
  <si>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</si>
  <si>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</si>
  <si>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</si>
  <si>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</si>
  <si>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</si>
  <si>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</si>
  <si>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</si>
  <si>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</si>
  <si>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</si>
  <si>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</si>
  <si>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</si>
  <si>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</si>
  <si>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</si>
  <si>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</si>
  <si>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</si>
  <si>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</si>
  <si>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</si>
  <si>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</si>
  <si>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</si>
  <si>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</si>
  <si>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</si>
  <si>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</si>
  <si>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</si>
  <si>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</si>
  <si>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</si>
  <si>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</si>
  <si>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</si>
  <si>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</si>
  <si>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</si>
  <si>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</si>
  <si>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</si>
  <si>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</si>
  <si>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</si>
  <si>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</si>
  <si>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</si>
  <si>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</si>
  <si>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</si>
  <si>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</si>
  <si>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</si>
  <si>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</si>
  <si>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</si>
  <si>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</si>
  <si>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</si>
  <si>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</si>
  <si>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</si>
  <si>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</si>
  <si>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</si>
  <si>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</si>
  <si>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</si>
  <si>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</si>
  <si>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</si>
  <si>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</si>
  <si>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</si>
  <si>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</si>
  <si>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</si>
  <si>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</si>
  <si>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</si>
  <si>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</si>
  <si>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</si>
  <si>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</si>
  <si>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</si>
  <si>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</si>
  <si>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</si>
  <si>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</si>
  <si>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</si>
  <si>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</si>
  <si>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</si>
  <si>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</si>
  <si>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</si>
  <si>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</si>
  <si>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</si>
  <si>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</si>
  <si>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</si>
  <si>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</si>
  <si>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</si>
  <si>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</si>
  <si>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</si>
  <si>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</si>
  <si>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</si>
  <si>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</si>
  <si>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</si>
  <si>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</si>
  <si>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</si>
  <si>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</si>
  <si>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</si>
  <si>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</si>
  <si>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</si>
  <si>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</si>
  <si>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</si>
  <si>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</si>
  <si>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</si>
  <si>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</si>
  <si>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</si>
  <si>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</si>
  <si>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</si>
  <si>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</si>
  <si>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</si>
  <si>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</si>
  <si>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</si>
  <si>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</si>
  <si>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</si>
  <si>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</si>
  <si>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</si>
  <si>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</si>
  <si>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</si>
  <si>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</si>
  <si>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</si>
  <si>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</si>
  <si>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</si>
  <si>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</si>
  <si>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</si>
  <si>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</si>
  <si>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</si>
  <si>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</si>
  <si>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</si>
  <si>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</si>
  <si>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</si>
  <si>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</si>
  <si>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</si>
  <si>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</si>
  <si>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</si>
  <si>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</si>
  <si>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</si>
  <si>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</si>
  <si>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</si>
  <si>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</si>
  <si>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</si>
  <si>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</si>
  <si>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</si>
  <si>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</si>
  <si>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</si>
  <si>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</si>
  <si>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</si>
  <si>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</si>
  <si>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</si>
  <si>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</si>
  <si>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</si>
  <si>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</si>
  <si>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</si>
  <si>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</si>
  <si>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</si>
  <si>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</si>
  <si>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</si>
  <si>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</si>
  <si>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</si>
  <si>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</si>
  <si>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</si>
  <si>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</si>
  <si>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</si>
  <si>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</si>
  <si>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</si>
  <si>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</si>
  <si>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</si>
  <si>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</si>
  <si>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</si>
  <si>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</si>
  <si>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</si>
  <si>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</si>
  <si>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</si>
  <si>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</si>
  <si>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</si>
  <si>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</si>
  <si>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</si>
  <si>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</si>
  <si>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</si>
  <si>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</si>
  <si>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</si>
  <si>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</si>
  <si>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</si>
  <si>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</si>
  <si>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</si>
  <si>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</si>
  <si>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</si>
  <si>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</si>
  <si>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</si>
  <si>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</si>
  <si>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</si>
  <si>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</si>
  <si>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</si>
  <si>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</si>
  <si>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</si>
  <si>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</si>
  <si>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</si>
  <si>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</si>
  <si>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</si>
  <si>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</si>
  <si>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</si>
  <si>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</si>
  <si>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</si>
  <si>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</si>
  <si>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</si>
  <si>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</si>
  <si>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</si>
  <si>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</si>
  <si>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</si>
  <si>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</si>
  <si>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</si>
  <si>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</si>
  <si>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</si>
  <si>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</si>
  <si>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</si>
  <si>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</si>
  <si>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</si>
  <si>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</si>
  <si>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</si>
  <si>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</si>
  <si>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</si>
  <si>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</si>
  <si>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</si>
  <si>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</si>
  <si>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</si>
  <si>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</si>
  <si>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</si>
  <si>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</si>
  <si>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</si>
  <si>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</si>
  <si>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</si>
  <si>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</si>
  <si>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</si>
  <si>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</si>
  <si>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</si>
  <si>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</si>
  <si>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</si>
  <si>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</si>
  <si>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</si>
  <si>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</si>
  <si>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</si>
  <si>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</si>
  <si>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</si>
  <si>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</si>
  <si>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</si>
  <si>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</si>
  <si>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</si>
  <si>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</si>
  <si>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</si>
  <si>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</si>
  <si>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</si>
  <si>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</si>
  <si>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</si>
  <si>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</si>
  <si>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</si>
  <si>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</si>
  <si>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</si>
  <si>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</si>
  <si>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</si>
  <si>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</si>
  <si>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</si>
  <si>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</si>
  <si>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</si>
  <si>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</si>
  <si>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</si>
  <si>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</si>
  <si>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</si>
  <si>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</si>
  <si>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</si>
  <si>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</si>
  <si>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</si>
  <si>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</si>
  <si>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</si>
  <si>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</si>
  <si>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</si>
  <si>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</si>
  <si>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</si>
  <si>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</si>
  <si>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</si>
  <si>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</si>
  <si>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</si>
  <si>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</si>
  <si>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</si>
  <si>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</si>
  <si>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</si>
  <si>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</si>
  <si>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</si>
  <si>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</si>
  <si>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</si>
  <si>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</si>
  <si>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</si>
  <si>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</si>
  <si>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</si>
  <si>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</si>
  <si>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</si>
  <si>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</si>
  <si>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</si>
  <si>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</si>
  <si>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</si>
  <si>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</si>
  <si>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</si>
  <si>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</si>
  <si>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</si>
  <si>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</si>
  <si>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</si>
  <si>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</si>
  <si>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</si>
  <si>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</si>
  <si>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</si>
  <si>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</si>
  <si>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</si>
  <si>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</si>
  <si>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</si>
  <si>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</si>
  <si>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</si>
  <si>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</si>
  <si>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</si>
  <si>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</si>
  <si>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</si>
  <si>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</si>
  <si>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</si>
  <si>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</si>
  <si>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</si>
  <si>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</si>
  <si>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</si>
  <si>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</si>
  <si>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</si>
  <si>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</si>
  <si>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</si>
  <si>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</si>
  <si>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</si>
  <si>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</si>
  <si>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</si>
  <si>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</si>
  <si>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</si>
  <si>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</si>
  <si>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</si>
  <si>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</si>
  <si>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</si>
  <si>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</si>
  <si>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</si>
  <si>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</si>
  <si>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</si>
  <si>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</si>
  <si>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</si>
  <si>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</si>
  <si>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</si>
  <si>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</si>
  <si>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</si>
  <si>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</si>
  <si>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</si>
  <si>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</si>
  <si>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</si>
  <si>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</si>
  <si>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</si>
  <si>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</si>
  <si>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</si>
  <si>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</si>
  <si>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</si>
  <si>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</si>
  <si>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</si>
  <si>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</si>
  <si>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</si>
  <si>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</si>
  <si>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</si>
  <si>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</si>
  <si>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</si>
  <si>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</si>
  <si>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</si>
  <si>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</si>
  <si>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</si>
  <si>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</si>
  <si>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</si>
  <si>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</si>
  <si>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</si>
  <si>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</si>
  <si>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</si>
  <si>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</si>
  <si>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</si>
  <si>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</si>
  <si>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</si>
  <si>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</si>
  <si>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</si>
  <si>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</si>
  <si>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</si>
  <si>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</si>
  <si>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</si>
  <si>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</si>
  <si>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</si>
  <si>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</si>
  <si>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</si>
  <si>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</si>
  <si>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</si>
  <si>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</si>
  <si>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</si>
  <si>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</si>
  <si>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</si>
  <si>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</si>
  <si>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</si>
  <si>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</si>
  <si>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</si>
  <si>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</si>
  <si>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</si>
  <si>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</si>
  <si>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</si>
  <si>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</si>
  <si>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</si>
  <si>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</si>
  <si>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</si>
  <si>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</si>
  <si>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</si>
  <si>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</si>
  <si>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</si>
  <si>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</si>
  <si>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</si>
  <si>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</si>
  <si>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</si>
  <si>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</si>
  <si>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</si>
  <si>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</si>
  <si>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</si>
  <si>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</si>
  <si>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</si>
  <si>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</si>
  <si>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</si>
  <si>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</si>
  <si>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</si>
  <si>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</si>
  <si>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</si>
  <si>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</si>
  <si>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</si>
  <si>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</si>
  <si>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</si>
  <si>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</si>
  <si>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</si>
  <si>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</si>
  <si>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</si>
  <si>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</si>
  <si>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</si>
  <si>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</si>
  <si>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</si>
  <si>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</si>
  <si>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</si>
  <si>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</si>
  <si>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</si>
  <si>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</si>
  <si>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</si>
  <si>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</si>
  <si>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</si>
  <si>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</si>
  <si>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</si>
  <si>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</si>
  <si>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</si>
  <si>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</si>
  <si>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</si>
  <si>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</si>
  <si>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</si>
  <si>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</si>
  <si>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</si>
  <si>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</si>
  <si>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</si>
  <si>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</si>
  <si>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</si>
  <si>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</si>
  <si>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</si>
  <si>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</si>
  <si>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</si>
  <si>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</si>
  <si>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</si>
  <si>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</si>
  <si>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</si>
  <si>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</si>
  <si>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</si>
  <si>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</si>
  <si>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</si>
  <si>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</si>
  <si>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</si>
  <si>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</si>
  <si>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</si>
  <si>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</si>
  <si>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</si>
  <si>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</si>
  <si>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</si>
  <si>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</si>
  <si>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</si>
  <si>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</si>
  <si>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</si>
  <si>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</si>
  <si>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</si>
  <si>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</si>
  <si>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</si>
  <si>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</si>
  <si>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</si>
  <si>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</si>
  <si>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</si>
  <si>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</si>
  <si>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</si>
  <si>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</si>
  <si>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</si>
  <si>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</si>
  <si>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</si>
  <si>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</si>
  <si>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</si>
  <si>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</si>
  <si>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</si>
  <si>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</si>
  <si>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</si>
  <si>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</si>
  <si>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</si>
  <si>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</si>
  <si>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</si>
  <si>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</si>
  <si>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</si>
  <si>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</si>
  <si>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</si>
  <si>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</si>
  <si>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</si>
  <si>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</si>
  <si>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</si>
  <si>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</si>
  <si>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</si>
  <si>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</si>
  <si>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</si>
  <si>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</si>
  <si>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</si>
  <si>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</si>
  <si>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</si>
  <si>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</si>
  <si>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</si>
  <si>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</si>
  <si>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</si>
  <si>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</si>
  <si>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</si>
  <si>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</si>
  <si>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</si>
  <si>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</si>
  <si>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</si>
  <si>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</si>
  <si>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</si>
  <si>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</si>
  <si>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</si>
  <si>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</si>
  <si>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</si>
  <si>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</si>
  <si>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</si>
  <si>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</si>
  <si>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</si>
  <si>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</si>
  <si>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</si>
  <si>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</si>
  <si>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</si>
  <si>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</si>
  <si>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</si>
  <si>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</si>
  <si>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</si>
  <si>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</si>
  <si>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</si>
  <si>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</si>
  <si>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</si>
  <si>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</si>
  <si>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</si>
  <si>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</si>
  <si>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</si>
  <si>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</si>
  <si>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</si>
  <si>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</si>
  <si>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</si>
  <si>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</si>
  <si>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</si>
  <si>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</si>
  <si>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</si>
  <si>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</si>
  <si>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</si>
  <si>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</si>
  <si>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</si>
  <si>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</si>
  <si>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</si>
  <si>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</si>
  <si>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</si>
  <si>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</si>
  <si>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</si>
  <si>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</si>
  <si>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</si>
  <si>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</si>
  <si>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</si>
  <si>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</si>
  <si>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</si>
  <si>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</si>
  <si>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</si>
  <si>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</si>
  <si>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</si>
  <si>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</si>
  <si>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</si>
  <si>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</si>
  <si>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</si>
  <si>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</si>
  <si>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</si>
  <si>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</si>
  <si>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</si>
  <si>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</si>
  <si>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</si>
  <si>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</si>
  <si>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</si>
  <si>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</si>
  <si>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</si>
  <si>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</si>
  <si>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</si>
  <si>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</si>
  <si>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</si>
  <si>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</si>
  <si>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</si>
  <si>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</si>
  <si>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</si>
  <si>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</si>
  <si>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</si>
  <si>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</si>
  <si>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</si>
  <si>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</si>
  <si>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</si>
  <si>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</si>
  <si>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</si>
  <si>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</si>
  <si>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</si>
  <si>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</si>
  <si>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</si>
  <si>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</si>
  <si>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</si>
  <si>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</si>
  <si>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</si>
  <si>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</si>
  <si>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</si>
  <si>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</si>
  <si>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</si>
  <si>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</si>
  <si>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</si>
  <si>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</si>
  <si>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</si>
  <si>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</si>
  <si>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</si>
  <si>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</si>
  <si>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</si>
  <si>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</si>
  <si>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</si>
  <si>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</si>
  <si>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</si>
  <si>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</si>
  <si>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</si>
  <si>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</si>
  <si>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</si>
  <si>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</si>
  <si>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</si>
  <si>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</si>
  <si>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</si>
  <si>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</si>
  <si>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</si>
  <si>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</si>
  <si>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</si>
  <si>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</si>
  <si>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</si>
  <si>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</si>
  <si>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</si>
  <si>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</si>
  <si>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</si>
  <si>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</si>
  <si>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</si>
  <si>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</si>
  <si>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</si>
  <si>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</si>
  <si>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</si>
  <si>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</si>
  <si>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</si>
  <si>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</si>
  <si>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</si>
  <si>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</si>
  <si>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</si>
  <si>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</si>
  <si>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</si>
  <si>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</si>
  <si>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</si>
  <si>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</si>
  <si>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</si>
  <si>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</si>
  <si>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</si>
  <si>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</si>
  <si>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</si>
  <si>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</si>
  <si>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</si>
  <si>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</si>
  <si>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</si>
  <si>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</si>
  <si>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</si>
  <si>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</si>
  <si>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</si>
  <si>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</si>
  <si>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</si>
  <si>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</si>
  <si>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</si>
  <si>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</si>
  <si>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</si>
  <si>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</si>
  <si>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</si>
  <si>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</si>
  <si>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</si>
  <si>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</si>
  <si>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</si>
  <si>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</si>
  <si>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</si>
  <si>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</si>
  <si>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</si>
  <si>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</si>
  <si>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</si>
  <si>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</si>
  <si>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</si>
  <si>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</si>
  <si>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</si>
  <si>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</si>
  <si>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</si>
  <si>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</si>
  <si>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</si>
  <si>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</si>
  <si>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</si>
  <si>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</si>
  <si>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</si>
  <si>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</si>
  <si>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</si>
  <si>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</si>
  <si>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</si>
  <si>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</si>
  <si>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</si>
  <si>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</si>
  <si>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</si>
  <si>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</si>
  <si>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</si>
  <si>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</si>
  <si>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</si>
  <si>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</si>
  <si>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</si>
  <si>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</si>
  <si>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</si>
  <si>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</si>
  <si>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</si>
  <si>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</si>
  <si>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</si>
  <si>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</si>
  <si>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</si>
  <si>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</si>
  <si>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</si>
  <si>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</si>
  <si>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</si>
  <si>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</si>
  <si>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</si>
  <si>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</si>
  <si>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</si>
  <si>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</si>
  <si>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</si>
  <si>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</si>
  <si>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</si>
  <si>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</si>
  <si>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</si>
  <si>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</si>
  <si>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</si>
  <si>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</si>
  <si>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</si>
  <si>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</si>
  <si>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</si>
  <si>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</si>
  <si>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</si>
  <si>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</si>
  <si>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</si>
  <si>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</si>
  <si>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</si>
  <si>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</si>
  <si>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</si>
  <si>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</si>
  <si>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</si>
  <si>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</si>
  <si>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</si>
  <si>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</si>
  <si>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</si>
  <si>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</si>
  <si>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</si>
  <si>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</si>
  <si>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</si>
  <si>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</si>
  <si>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</si>
  <si>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</si>
  <si>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</si>
  <si>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</si>
  <si>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</si>
  <si>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</si>
  <si>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</si>
  <si>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</si>
  <si>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</si>
  <si>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</si>
  <si>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</si>
  <si>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</si>
  <si>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</si>
  <si>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</si>
  <si>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</si>
  <si>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</si>
  <si>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</si>
  <si>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</si>
  <si>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</si>
  <si>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</si>
  <si>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</si>
  <si>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</si>
  <si>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</si>
  <si>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</si>
  <si>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</si>
  <si>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</si>
  <si>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</si>
  <si>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</si>
  <si>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</si>
  <si>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</si>
  <si>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</si>
  <si>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</si>
  <si>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</si>
  <si>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</si>
  <si>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</si>
  <si>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</si>
  <si>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</si>
  <si>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</si>
  <si>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</si>
  <si>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</si>
  <si>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</si>
  <si>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</si>
  <si>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</si>
  <si>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</si>
  <si>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</si>
  <si>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</si>
  <si>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</si>
  <si>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</si>
  <si>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</si>
  <si>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</si>
  <si>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</si>
  <si>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</si>
  <si>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</si>
  <si>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</si>
  <si>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</si>
  <si>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</si>
  <si>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</si>
  <si>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</si>
  <si>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</si>
  <si>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</si>
  <si>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</si>
  <si>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</si>
  <si>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</si>
  <si>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</si>
  <si>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</si>
  <si>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</si>
  <si>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</si>
  <si>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</si>
  <si>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</si>
  <si>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</si>
  <si>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</si>
  <si>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</si>
  <si>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</si>
  <si>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</si>
  <si>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</si>
  <si>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</si>
  <si>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</si>
  <si>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</si>
  <si>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</si>
  <si>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</si>
  <si>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</si>
  <si>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</si>
  <si>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</si>
  <si>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</si>
  <si>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</si>
  <si>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</si>
  <si>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</si>
  <si>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</si>
  <si>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</si>
  <si>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</si>
  <si>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</si>
  <si>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</si>
  <si>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</si>
  <si>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</si>
  <si>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</si>
  <si>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</si>
  <si>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</si>
  <si>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</si>
  <si>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</si>
  <si>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</si>
  <si>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</si>
  <si>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</si>
  <si>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</si>
  <si>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</si>
  <si>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</si>
  <si>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</si>
  <si>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</si>
  <si>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</si>
  <si>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</si>
  <si>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</si>
  <si>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</si>
  <si>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</si>
  <si>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</si>
  <si>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</si>
  <si>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</si>
  <si>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</si>
  <si>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</si>
  <si>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</si>
  <si>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</si>
  <si>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</si>
  <si>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</si>
  <si>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</si>
  <si>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</si>
  <si>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</si>
  <si>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</si>
  <si>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</si>
  <si>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</si>
  <si>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</si>
  <si>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</si>
  <si>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</si>
  <si>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</si>
  <si>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</si>
  <si>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</si>
  <si>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</si>
  <si>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</si>
  <si>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</si>
  <si>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</si>
  <si>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</si>
  <si>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</si>
  <si>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</si>
  <si>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</si>
  <si>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</si>
  <si>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</si>
  <si>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</si>
  <si>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</si>
  <si>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</si>
  <si>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</si>
  <si>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</si>
  <si>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</si>
  <si>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</si>
  <si>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</si>
  <si>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</si>
  <si>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</si>
  <si>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</si>
  <si>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</si>
  <si>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</si>
  <si>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</si>
  <si>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</si>
  <si>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</si>
  <si>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</si>
  <si>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</si>
  <si>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</si>
  <si>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</si>
  <si>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</si>
  <si>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</si>
  <si>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</si>
  <si>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</si>
  <si>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</si>
  <si>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</si>
  <si>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</si>
  <si>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</si>
  <si>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</si>
  <si>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</si>
  <si>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</si>
  <si>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</si>
  <si>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</si>
  <si>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</si>
  <si>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</si>
  <si>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</si>
  <si>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</si>
  <si>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</si>
  <si>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</si>
  <si>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</si>
  <si>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</si>
  <si>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</si>
  <si>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</si>
  <si>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</si>
  <si>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</si>
  <si>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</si>
  <si>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</si>
  <si>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</si>
  <si>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</si>
  <si>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</si>
  <si>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</si>
  <si>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</si>
  <si>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</si>
  <si>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</si>
  <si>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</si>
  <si>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</si>
  <si>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</si>
  <si>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</si>
  <si>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</si>
  <si>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</si>
  <si>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</si>
  <si>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</si>
  <si>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</si>
  <si>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</si>
  <si>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</si>
  <si>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</si>
  <si>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</si>
  <si>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</si>
  <si>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</si>
  <si>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</si>
  <si>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</si>
  <si>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</si>
  <si>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</si>
  <si>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</si>
  <si>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</si>
  <si>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</si>
  <si>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</si>
  <si>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</si>
  <si>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</si>
  <si>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</si>
  <si>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</si>
  <si>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</si>
  <si>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</si>
  <si>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</si>
  <si>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</si>
  <si>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</si>
  <si>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</si>
  <si>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</si>
  <si>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</si>
  <si>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</si>
  <si>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</si>
  <si>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</si>
  <si>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</si>
  <si>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</si>
  <si>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</si>
  <si>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</si>
  <si>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</si>
  <si>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</si>
  <si>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</si>
  <si>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</si>
  <si>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</si>
  <si>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</si>
  <si>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</si>
  <si>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</si>
  <si>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</si>
  <si>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</si>
  <si>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</si>
  <si>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</si>
  <si>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</si>
  <si>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</si>
  <si>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</si>
  <si>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</si>
  <si>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</si>
  <si>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</si>
  <si>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</si>
  <si>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</si>
  <si>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</si>
  <si>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</si>
  <si>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</si>
  <si>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</si>
  <si>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</si>
  <si>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</si>
  <si>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</si>
  <si>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</si>
  <si>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</si>
  <si>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</si>
  <si>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</si>
  <si>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</si>
  <si>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</si>
  <si>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</si>
  <si>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</si>
  <si>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</si>
  <si>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</si>
  <si>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</si>
  <si>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</si>
  <si>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</si>
  <si>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</si>
  <si>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</si>
  <si>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</si>
  <si>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</si>
  <si>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</si>
  <si>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</si>
  <si>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</si>
  <si>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</si>
  <si>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</si>
  <si>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</si>
  <si>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</si>
  <si>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</si>
  <si>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</si>
  <si>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</si>
  <si>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</si>
  <si>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</si>
  <si>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</si>
  <si>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</si>
  <si>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</si>
  <si>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</si>
  <si>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</si>
  <si>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</si>
  <si>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</si>
  <si>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</si>
  <si>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</si>
  <si>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</si>
  <si>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</si>
  <si>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</si>
  <si>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</si>
  <si>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</si>
  <si>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</si>
  <si>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</si>
  <si>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</si>
  <si>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</si>
  <si>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</si>
  <si>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</si>
  <si>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</si>
  <si>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</si>
  <si>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</si>
  <si>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</si>
  <si>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</si>
  <si>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</si>
  <si>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</si>
  <si>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</si>
  <si>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</si>
  <si>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</si>
  <si>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</si>
  <si>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</si>
  <si>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</si>
  <si>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</si>
  <si>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</si>
  <si>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</si>
  <si>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</si>
  <si>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</si>
  <si>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</si>
  <si>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</si>
  <si>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</si>
  <si>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</si>
  <si>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</si>
  <si>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</si>
  <si>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</si>
  <si>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</si>
  <si>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</si>
  <si>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</si>
  <si>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</si>
  <si>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</si>
  <si>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</si>
  <si>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</si>
  <si>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</si>
  <si>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</si>
  <si>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</si>
  <si>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</si>
  <si>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</si>
  <si>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</si>
  <si>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</si>
  <si>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</si>
  <si>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</si>
  <si>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</si>
  <si>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</si>
  <si>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</si>
  <si>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</si>
  <si>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</si>
  <si>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</si>
  <si>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</si>
  <si>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</si>
  <si>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</si>
  <si>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</si>
  <si>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</si>
  <si>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</si>
  <si>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</si>
  <si>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</si>
  <si>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</si>
  <si>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</si>
  <si>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</si>
  <si>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</si>
  <si>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</si>
  <si>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</si>
  <si>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</si>
  <si>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</si>
  <si>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</si>
  <si>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</si>
  <si>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</si>
  <si>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</si>
  <si>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</si>
  <si>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</si>
  <si>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</si>
  <si>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</si>
  <si>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</si>
  <si>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</si>
  <si>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</si>
  <si>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</si>
  <si>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</si>
  <si>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</si>
  <si>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</si>
  <si>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</si>
  <si>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</si>
  <si>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</si>
  <si>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</si>
  <si>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</si>
  <si>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</si>
  <si>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</si>
  <si>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</si>
  <si>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</si>
  <si>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</si>
  <si>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</si>
  <si>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</si>
  <si>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</si>
  <si>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</si>
  <si>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</si>
  <si>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</si>
  <si>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</si>
  <si>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</si>
  <si>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</si>
  <si>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</si>
  <si>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</si>
  <si>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</si>
  <si>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</si>
  <si>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</si>
  <si>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</si>
  <si>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</si>
  <si>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</si>
  <si>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</si>
  <si>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</si>
  <si>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</si>
  <si>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</si>
  <si>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</si>
  <si>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</si>
  <si>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</si>
  <si>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</si>
  <si>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</si>
  <si>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</si>
  <si>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</si>
  <si>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</si>
  <si>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</si>
  <si>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</si>
  <si>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</si>
  <si>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</si>
  <si>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</si>
  <si>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</si>
  <si>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</si>
  <si>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</si>
  <si>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</si>
  <si>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</si>
  <si>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</si>
  <si>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</si>
  <si>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</si>
  <si>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</si>
  <si>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</si>
  <si>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</si>
  <si>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</si>
  <si>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</si>
  <si>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</si>
  <si>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</si>
  <si>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</si>
  <si>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</si>
  <si>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</si>
  <si>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</si>
  <si>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</si>
  <si>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</si>
  <si>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</si>
  <si>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</si>
  <si>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</si>
  <si>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</si>
  <si>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</si>
  <si>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</si>
  <si>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</si>
  <si>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</si>
  <si>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</si>
  <si>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</si>
  <si>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</si>
  <si>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</si>
  <si>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</si>
  <si>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</si>
  <si>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</si>
  <si>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</si>
  <si>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</si>
  <si>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</si>
  <si>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</si>
  <si>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</si>
  <si>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</si>
  <si>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</si>
  <si>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</si>
  <si>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</si>
  <si>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</si>
  <si>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</si>
  <si>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</si>
  <si>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</si>
  <si>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</si>
  <si>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</si>
  <si>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</si>
  <si>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</si>
  <si>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</si>
  <si>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</si>
  <si>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</si>
  <si>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</si>
  <si>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</si>
  <si>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</si>
  <si>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</si>
  <si>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</si>
  <si>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</si>
  <si>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</si>
  <si>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</si>
  <si>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</si>
  <si>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</si>
  <si>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</si>
  <si>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</si>
  <si>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</si>
  <si>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</si>
  <si>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</si>
  <si>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</si>
  <si>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</si>
  <si>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</si>
  <si>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</si>
  <si>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</si>
  <si>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</si>
  <si>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</si>
  <si>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</si>
  <si>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</si>
  <si>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</si>
  <si>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</si>
  <si>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</si>
  <si>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</si>
  <si>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</si>
  <si>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</si>
  <si>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</si>
  <si>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</si>
  <si>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</si>
  <si>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</si>
  <si>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</si>
  <si>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</si>
  <si>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</si>
  <si>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</si>
  <si>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</si>
  <si>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</si>
  <si>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</si>
  <si>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</si>
  <si>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</si>
  <si>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</si>
  <si>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</si>
  <si>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</si>
  <si>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</si>
  <si>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</si>
  <si>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</si>
  <si>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</si>
  <si>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</si>
  <si>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</si>
  <si>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</si>
  <si>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</si>
  <si>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</si>
  <si>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</si>
  <si>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</si>
  <si>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</si>
  <si>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</si>
  <si>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</si>
  <si>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</si>
  <si>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</si>
  <si>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</si>
  <si>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</si>
  <si>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</si>
  <si>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</si>
  <si>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</si>
  <si>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</si>
  <si>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</si>
  <si>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</si>
  <si>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</si>
  <si>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</si>
  <si>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</si>
  <si>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</si>
  <si>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</si>
  <si>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</si>
  <si>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</si>
  <si>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</si>
  <si>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</si>
  <si>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</si>
  <si>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</si>
  <si>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</si>
  <si>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</si>
  <si>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</si>
  <si>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CBRE</t>
  </si>
  <si>
    <t>Gregory Mill WO#C5364027-00086.01</t>
  </si>
  <si>
    <t>316 Mayfield Dr</t>
  </si>
  <si>
    <t>Smyrna, TN 37167</t>
  </si>
  <si>
    <t>Key Box#6051 Back Door</t>
  </si>
  <si>
    <t>Primary</t>
  </si>
  <si>
    <t>SKSCM</t>
  </si>
  <si>
    <t>XX</t>
  </si>
  <si>
    <t>Doyle</t>
  </si>
  <si>
    <t>Riland Duka</t>
  </si>
  <si>
    <t>213 Karis Dr</t>
  </si>
  <si>
    <t>Spring Hill, TN 37174</t>
  </si>
  <si>
    <t>RD 3-14-2025</t>
  </si>
  <si>
    <t>734-752-7117</t>
  </si>
  <si>
    <t>RS</t>
  </si>
  <si>
    <t>FHC</t>
  </si>
  <si>
    <t>Clerk #1</t>
  </si>
  <si>
    <t>Clerk #2</t>
  </si>
  <si>
    <t>Bishop #1</t>
  </si>
  <si>
    <t>Bishop #2</t>
  </si>
  <si>
    <t>YW</t>
  </si>
  <si>
    <t>Mothers Room</t>
  </si>
  <si>
    <t>Bishop #3</t>
  </si>
  <si>
    <t>1% sales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</si>
</sst>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0" fontId="31" fillId="0" borderId="1" xfId="0" applyFont="1" applyBorder="1" applyProtection="1">
      <protection locked="0"/>
    </xf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checked="Checked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4.25">
      <c r="A10" s="284" t="s">
        <v>3</v>
      </c>
      <c r="B10" s="285"/>
      <c r="C10" s="286"/>
      <c r="D10" s="286"/>
      <c r="E10" s="286"/>
      <c r="F10" s="286"/>
      <c r="G10" s="287"/>
      <c r="H10" s="286"/>
      <c r="I10" s="286"/>
      <c r="J10" s="286"/>
    </row>
    <row r="11" spans="1:11" s="267" customFormat="1" ht="14.25">
      <c r="A11" s="284"/>
      <c r="B11" s="286"/>
      <c r="C11" s="286"/>
      <c r="D11" s="286"/>
      <c r="E11" s="268" t="s">
        <v>2527</v>
      </c>
      <c r="F11" s="286"/>
      <c r="G11" s="287"/>
      <c r="H11" s="286"/>
      <c r="I11" s="286"/>
      <c r="J11" s="286"/>
    </row>
    <row r="12" spans="1:11" ht="13.7" customHeight="1">
      <c r="A12" s="288" t="s">
        <v>97</v>
      </c>
      <c r="B12" s="300" t="str">
        <f>Worksheet!D3</f>
        <v>CBRE</v>
      </c>
      <c r="C12" s="238"/>
      <c r="D12" s="238"/>
      <c r="E12" s="269" t="s">
        <v>2528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1">
        <f>Worksheet!D4</f>
        <v>0</v>
      </c>
      <c r="C13" s="238"/>
      <c r="D13" s="238"/>
      <c r="E13" s="269" t="s">
        <v>2529</v>
      </c>
      <c r="F13" s="238"/>
      <c r="G13" s="238"/>
      <c r="H13" s="238"/>
      <c r="I13" s="238"/>
      <c r="J13" s="238"/>
      <c r="K13" s="2"/>
    </row>
    <row r="14" spans="1:11" ht="13.7" customHeight="1">
      <c r="A14" s="266"/>
      <c r="B14" s="301">
        <f>Worksheet!D5</f>
        <v>0</v>
      </c>
      <c r="C14" s="238"/>
      <c r="D14" s="238"/>
      <c r="E14" s="269" t="s">
        <v>2530</v>
      </c>
      <c r="F14" s="238"/>
      <c r="G14" s="238"/>
      <c r="H14" s="238"/>
      <c r="I14" s="238"/>
      <c r="J14" s="238"/>
      <c r="K14" s="2"/>
    </row>
    <row r="15" spans="1:11" ht="8.65" customHeight="1">
      <c r="A15" s="266"/>
      <c r="B15" s="289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1">
        <f>Worksheet!D6</f>
        <v>0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15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7" customHeight="1">
      <c r="A19" s="238" t="s">
        <v>109</v>
      </c>
      <c r="B19" s="238">
        <f>Worksheet!J6</f>
        <v>0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3"/>
    </row>
    <row r="21" spans="1:11">
      <c r="A21" s="238"/>
      <c r="B21" s="238"/>
      <c r="C21" s="238"/>
      <c r="D21" s="238"/>
      <c r="E21" s="238"/>
      <c r="F21" s="238"/>
      <c r="G21" s="238"/>
      <c r="H21" s="238"/>
      <c r="I21" s="238"/>
      <c r="J21" s="283"/>
    </row>
    <row r="22" spans="1:11" ht="24.2" customHeight="1">
      <c r="A22" s="290" t="s">
        <v>2525</v>
      </c>
      <c r="B22" s="291" t="str">
        <f>Worksheet!W4</f>
        <v>Gregory Mill WO#C5364027-00086.01</v>
      </c>
      <c r="C22" s="291"/>
      <c r="D22" s="291"/>
      <c r="E22" s="238"/>
      <c r="F22" s="238"/>
      <c r="G22" s="238"/>
      <c r="H22" s="238"/>
      <c r="I22" s="238"/>
      <c r="J22" s="238"/>
      <c r="K22" s="2"/>
    </row>
    <row r="23" spans="1:1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4.25">
      <c r="A24" s="266" t="s">
        <v>2526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>
      <c r="A25" s="238"/>
      <c r="B25" s="238"/>
      <c r="C25" s="238"/>
      <c r="D25" s="238"/>
      <c r="E25" s="238"/>
      <c r="F25" s="238"/>
      <c r="G25" s="238"/>
      <c r="H25" s="238"/>
      <c r="I25" s="238"/>
      <c r="J25" s="283"/>
    </row>
    <row r="26" spans="1:11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3"/>
    </row>
    <row r="27" spans="1:11">
      <c r="A27" s="238"/>
      <c r="B27" s="240" t="s">
        <v>110</v>
      </c>
      <c r="C27" s="240"/>
      <c r="D27" s="292" t="s">
        <v>101</v>
      </c>
      <c r="E27" s="292" t="s">
        <v>10</v>
      </c>
      <c r="F27" s="292" t="s">
        <v>11</v>
      </c>
      <c r="G27" s="292" t="s">
        <v>103</v>
      </c>
      <c r="H27" s="292" t="s">
        <v>13</v>
      </c>
      <c r="I27" s="292" t="s">
        <v>104</v>
      </c>
      <c r="J27" s="283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3"/>
      <c r="K28" s="2"/>
    </row>
    <row r="29" spans="1:11">
      <c r="A29" s="238"/>
      <c r="B29" s="238"/>
      <c r="C29" s="238"/>
      <c r="D29" s="239"/>
      <c r="E29" s="239"/>
      <c r="F29" s="239"/>
      <c r="G29" s="239"/>
      <c r="H29" s="239"/>
      <c r="I29" s="239"/>
      <c r="J29" s="283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3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3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3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3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3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3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39"/>
      <c r="I36" s="239"/>
      <c r="J36" s="283"/>
      <c r="K36" s="2"/>
    </row>
    <row r="37" spans="1:11">
      <c r="A37" s="238"/>
      <c r="B37" s="238"/>
      <c r="C37" s="238"/>
      <c r="D37" s="239"/>
      <c r="E37" s="239"/>
      <c r="F37" s="239"/>
      <c r="G37" s="239"/>
      <c r="H37" s="293"/>
      <c r="I37" s="239"/>
      <c r="J37" s="283"/>
      <c r="K37" s="2"/>
    </row>
    <row r="38" spans="1:11">
      <c r="A38" s="269"/>
      <c r="B38" s="272" t="s">
        <v>2540</v>
      </c>
      <c r="C38" s="415" t="s">
        <v>2534</v>
      </c>
      <c r="D38" s="415"/>
      <c r="E38" s="415"/>
      <c r="F38" s="415"/>
      <c r="G38" s="269"/>
      <c r="H38" s="269"/>
      <c r="I38" s="271"/>
      <c r="J38" s="283"/>
      <c r="K38" s="2"/>
    </row>
    <row r="39" spans="1:11" s="267" customFormat="1" ht="12.75" customHeight="1">
      <c r="A39" s="269"/>
      <c r="B39" s="286"/>
      <c r="C39" s="286"/>
      <c r="D39" s="286"/>
      <c r="E39" s="286"/>
      <c r="F39" s="286"/>
      <c r="G39" s="270"/>
      <c r="H39" s="270"/>
      <c r="I39" s="271"/>
      <c r="J39" s="286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6"/>
    </row>
    <row r="41" spans="1:11" s="267" customFormat="1" ht="15">
      <c r="A41" s="273"/>
      <c r="B41" s="270" t="s">
        <v>94</v>
      </c>
      <c r="C41" s="273"/>
      <c r="D41" s="299">
        <f>Worksheet!AR36</f>
        <v>8959.9977777777767</v>
      </c>
      <c r="E41" s="270"/>
      <c r="F41" s="294" t="s">
        <v>2541</v>
      </c>
      <c r="G41" s="277"/>
      <c r="H41" s="270"/>
      <c r="I41" s="274"/>
      <c r="J41" s="286"/>
    </row>
    <row r="42" spans="1:11" s="267" customFormat="1" ht="15">
      <c r="A42" s="273"/>
      <c r="B42" s="270" t="s">
        <v>105</v>
      </c>
      <c r="C42" s="275">
        <f>[6]Worksheet!AC39</f>
        <v>0</v>
      </c>
      <c r="D42" s="276"/>
      <c r="E42" s="294"/>
      <c r="I42" s="274"/>
      <c r="J42" s="286"/>
    </row>
    <row r="43" spans="1:11" ht="15.75">
      <c r="A43" s="273"/>
      <c r="B43" s="273"/>
      <c r="C43" s="273"/>
      <c r="D43" s="278">
        <f>SUM(D41:D42)</f>
        <v>8959.9977777777767</v>
      </c>
      <c r="E43" s="270"/>
      <c r="F43" s="297" t="s">
        <v>2547</v>
      </c>
      <c r="H43" s="281"/>
      <c r="I43" s="298"/>
      <c r="J43" s="283"/>
      <c r="K43" s="2"/>
    </row>
    <row r="44" spans="1:11" ht="15.75">
      <c r="A44" s="302" t="s">
        <v>2549</v>
      </c>
      <c r="B44" s="273"/>
      <c r="C44" s="273"/>
      <c r="D44" s="278"/>
      <c r="E44" s="270"/>
      <c r="F44" s="297"/>
      <c r="H44" s="270"/>
      <c r="I44" s="274"/>
      <c r="J44" s="283"/>
      <c r="K44" s="2"/>
    </row>
    <row r="45" spans="1:11">
      <c r="A45" s="270"/>
      <c r="B45" s="270"/>
      <c r="C45" s="279"/>
      <c r="D45" s="270"/>
      <c r="E45" s="270"/>
      <c r="F45" s="270"/>
      <c r="G45" s="270"/>
      <c r="H45" s="270"/>
      <c r="I45" s="274"/>
      <c r="J45" s="283"/>
    </row>
    <row r="46" spans="1:11">
      <c r="A46" s="270"/>
      <c r="B46" s="280" t="s">
        <v>2542</v>
      </c>
      <c r="C46" s="270"/>
      <c r="D46" s="270"/>
      <c r="E46" s="270"/>
      <c r="F46" s="270"/>
      <c r="G46" s="270"/>
      <c r="H46" s="270"/>
      <c r="I46" s="274"/>
      <c r="J46" s="283"/>
    </row>
    <row r="47" spans="1:11">
      <c r="A47" s="270"/>
      <c r="B47" s="238" t="s">
        <v>2545</v>
      </c>
      <c r="C47" s="238"/>
      <c r="D47" s="238"/>
      <c r="E47" s="238"/>
      <c r="F47" s="238"/>
      <c r="G47" s="238"/>
      <c r="H47" s="238"/>
      <c r="I47" s="238"/>
      <c r="J47" s="283"/>
    </row>
    <row r="48" spans="1:11">
      <c r="A48" s="270"/>
      <c r="B48" s="238" t="s">
        <v>2546</v>
      </c>
      <c r="C48" s="238"/>
      <c r="D48" s="238"/>
      <c r="E48" s="238"/>
      <c r="F48" s="238"/>
      <c r="G48" s="238"/>
      <c r="H48" s="238"/>
      <c r="I48" s="238"/>
      <c r="J48" s="283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3"/>
    </row>
    <row r="50" spans="1:10">
      <c r="A50" s="270"/>
      <c r="B50" s="270"/>
      <c r="C50" s="270"/>
      <c r="D50" s="270"/>
      <c r="E50" s="270"/>
      <c r="F50" s="270"/>
      <c r="G50" s="270"/>
      <c r="H50" s="270"/>
      <c r="I50" s="274"/>
      <c r="J50" s="283"/>
    </row>
    <row r="51" spans="1:10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3"/>
    </row>
    <row r="52" spans="1:10">
      <c r="A52" s="270"/>
      <c r="B52" s="270"/>
      <c r="C52" s="270"/>
      <c r="D52" s="270"/>
      <c r="E52" s="238"/>
      <c r="F52" s="238"/>
      <c r="G52" s="238"/>
      <c r="H52" s="238"/>
      <c r="I52" s="270"/>
      <c r="J52" s="283"/>
    </row>
    <row r="53" spans="1:10">
      <c r="A53" s="270"/>
      <c r="B53" s="270"/>
      <c r="C53" s="270"/>
      <c r="D53" s="270"/>
      <c r="E53" s="238"/>
      <c r="F53" s="270"/>
      <c r="G53" s="270"/>
      <c r="H53" s="270"/>
      <c r="I53" s="270"/>
      <c r="J53" s="283"/>
    </row>
    <row r="54" spans="1:10">
      <c r="A54" s="281"/>
      <c r="B54" s="281"/>
      <c r="C54" s="281"/>
      <c r="D54" s="270"/>
      <c r="E54" s="238"/>
      <c r="F54" s="292"/>
      <c r="G54" s="292"/>
      <c r="H54" s="292"/>
      <c r="I54" s="292"/>
      <c r="J54" s="283"/>
    </row>
    <row r="55" spans="1:10">
      <c r="A55" s="282"/>
      <c r="B55" s="270"/>
      <c r="C55" s="270"/>
      <c r="D55" s="270"/>
      <c r="E55" s="238"/>
      <c r="F55" s="238"/>
      <c r="G55" s="238"/>
      <c r="H55" s="238"/>
      <c r="I55" s="270"/>
      <c r="J55" s="283"/>
    </row>
    <row r="56" spans="1:10">
      <c r="A56" s="270" t="s">
        <v>106</v>
      </c>
      <c r="B56" s="270"/>
      <c r="C56" s="270"/>
      <c r="D56" s="270"/>
      <c r="E56" s="238"/>
      <c r="F56" s="238" t="s">
        <v>2543</v>
      </c>
      <c r="G56" s="238"/>
      <c r="H56" s="238"/>
      <c r="I56" s="270"/>
      <c r="J56" s="283"/>
    </row>
    <row r="57" spans="1:10">
      <c r="A57" s="270" t="s">
        <v>2531</v>
      </c>
      <c r="B57" s="270"/>
      <c r="C57" s="270"/>
      <c r="D57" s="270"/>
      <c r="E57" s="238"/>
      <c r="F57" s="270"/>
      <c r="G57" s="238"/>
      <c r="H57" s="238"/>
      <c r="I57" s="270"/>
      <c r="J57" s="283"/>
    </row>
    <row r="58" spans="1:10" ht="15.6" customHeight="1">
      <c r="A58" s="295" t="s">
        <v>2544</v>
      </c>
      <c r="B58" s="270"/>
      <c r="C58" s="270"/>
      <c r="D58" s="270"/>
      <c r="E58" s="238"/>
      <c r="F58" s="270"/>
      <c r="G58" s="270"/>
      <c r="H58" s="270"/>
      <c r="I58" s="274"/>
      <c r="J58" s="283"/>
    </row>
    <row r="59" spans="1:10">
      <c r="A59" s="238"/>
      <c r="B59" s="238"/>
      <c r="C59" s="238"/>
      <c r="D59" s="238"/>
      <c r="E59" s="238"/>
      <c r="F59" s="238"/>
      <c r="G59" s="238"/>
      <c r="H59" s="238"/>
      <c r="I59" s="238"/>
      <c r="J59" s="283"/>
    </row>
    <row r="60" spans="1:10">
      <c r="A60" s="238"/>
      <c r="B60" s="296"/>
      <c r="C60" s="238"/>
      <c r="D60" s="238"/>
      <c r="E60" s="238"/>
      <c r="F60" s="238"/>
      <c r="G60" s="238"/>
      <c r="H60" s="238"/>
      <c r="I60" s="238"/>
      <c r="J60" s="283"/>
    </row>
    <row r="61" spans="1:10">
      <c r="A61" s="238"/>
      <c r="B61" s="296"/>
      <c r="C61" s="238"/>
      <c r="D61" s="238"/>
      <c r="E61" s="238"/>
      <c r="F61" s="238"/>
      <c r="G61" s="238"/>
      <c r="H61" s="238"/>
      <c r="I61" s="238"/>
      <c r="J61" s="283"/>
    </row>
    <row r="110" spans="2:2">
      <c r="B110" s="270" t="s">
        <v>2534</v>
      </c>
    </row>
    <row r="111" spans="2:2">
      <c r="B111" s="270" t="s">
        <v>2535</v>
      </c>
    </row>
    <row r="112" spans="2:2">
      <c r="B112" s="270" t="s">
        <v>2536</v>
      </c>
    </row>
    <row r="113" spans="2:2">
      <c r="B113" s="270" t="s">
        <v>2537</v>
      </c>
    </row>
    <row r="114" spans="2:2">
      <c r="B114" s="270" t="s">
        <v>2538</v>
      </c>
    </row>
    <row r="115" spans="2:2">
      <c r="B115" s="270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'Worksheet 2'!AR1</f>
        <v>33517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0" t="s">
        <v>2532</v>
      </c>
      <c r="Q4" s="420"/>
      <c r="R4" s="417">
        <f>'Worksheet 2'!R4</f>
        <v>45823</v>
      </c>
      <c r="S4" s="417"/>
      <c r="T4" s="417"/>
      <c r="U4" s="171"/>
      <c r="Y4" s="303" t="s">
        <v>2297</v>
      </c>
      <c r="Z4" s="211">
        <f>'Worksheet 2'!Z4</f>
        <v>2</v>
      </c>
    </row>
    <row r="5" spans="1:26" s="53" customFormat="1" ht="15.95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'Worksheet 2'!W4</f>
        <v>Gregory Mill WO#C5364027-00086.01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'Worksheet 2'!Z32</f>
        <v>0</v>
      </c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0" t="s">
        <v>2532</v>
      </c>
      <c r="Q4" s="420"/>
      <c r="R4" s="417">
        <f>'Worksheet 2'!R4</f>
        <v>45823</v>
      </c>
      <c r="S4" s="417"/>
      <c r="T4" s="417"/>
      <c r="U4" s="171"/>
      <c r="V4" s="69" t="s">
        <v>4</v>
      </c>
      <c r="W4" s="453" t="str">
        <f>'Worksheet 2'!W4</f>
        <v>Gregory Mill WO#C5364027-00086.01</v>
      </c>
      <c r="X4" s="453"/>
      <c r="Y4" s="207" t="s">
        <v>2297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31" t="str">
        <f>'Worksheet 2'!W5</f>
        <v>316 Mayfield Dr</v>
      </c>
      <c r="X5" s="431"/>
      <c r="Y5" s="431"/>
      <c r="Z5" s="66"/>
    </row>
    <row r="6" spans="1:26" s="53" customFormat="1" ht="15.95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63">
        <f>'Worksheet 2'!AR1</f>
        <v>33517</v>
      </c>
      <c r="R6" s="464"/>
      <c r="S6" s="57"/>
      <c r="T6" s="171"/>
      <c r="U6" s="75"/>
      <c r="V6" s="66"/>
      <c r="W6" s="431" t="str">
        <f>'Worksheet 2'!W6</f>
        <v>Smyrna, TN 37167</v>
      </c>
      <c r="X6" s="431"/>
      <c r="Y6" s="431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65"/>
      <c r="R7" s="466"/>
      <c r="S7" s="57"/>
      <c r="T7" s="57"/>
      <c r="U7" s="75"/>
      <c r="V7" s="66" t="s">
        <v>108</v>
      </c>
      <c r="W7" s="338">
        <f>'Worksheet 2'!D6</f>
        <v>0</v>
      </c>
      <c r="X7" s="163">
        <f>'Worksheet 2'!J6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5" customHeigh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'Worksheet 2'!AR1</f>
        <v>33517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0" t="s">
        <v>2532</v>
      </c>
      <c r="Q4" s="420"/>
      <c r="R4" s="417">
        <f>'Worksheet 2'!R4</f>
        <v>45823</v>
      </c>
      <c r="S4" s="417"/>
      <c r="T4" s="417"/>
      <c r="U4" s="171"/>
      <c r="V4" s="254" t="s">
        <v>40</v>
      </c>
      <c r="W4" s="255">
        <f>'Worksheet 2'!W32</f>
        <v>0</v>
      </c>
      <c r="X4" s="255"/>
      <c r="Y4" s="303" t="s">
        <v>2297</v>
      </c>
      <c r="Z4" s="211">
        <f>'Worksheet 2'!Z4</f>
        <v>2</v>
      </c>
    </row>
    <row r="5" spans="1:26" s="53" customFormat="1" ht="15.95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1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'Worksheet 2'!W4</f>
        <v>Gregory Mill WO#C5364027-00086.01</v>
      </c>
      <c r="O6" s="323"/>
      <c r="P6" s="65"/>
      <c r="Q6" s="339"/>
      <c r="R6" s="340"/>
      <c r="S6" s="57"/>
      <c r="T6" s="171"/>
      <c r="U6" s="75"/>
      <c r="V6" s="163"/>
      <c r="W6" s="163">
        <f>'Worksheet 2'!W34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2553</v>
      </c>
      <c r="P34" s="342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80" zoomScaleNormal="80" zoomScaleSheetLayoutView="80" workbookViewId="0">
      <selection activeCell="AO5" sqref="AO5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16" t="str">
        <f>IF(F35&gt;0,"FINAL MEASUREMENTS OK"," ")</f>
        <v xml:space="preserve"> </v>
      </c>
      <c r="O1" s="416"/>
      <c r="P1" s="416"/>
      <c r="Q1" s="416"/>
      <c r="R1" s="416"/>
      <c r="S1" s="416"/>
      <c r="T1" s="41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3">
        <v>33517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23" t="s">
        <v>2609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420" t="s">
        <v>2532</v>
      </c>
      <c r="Q4" s="420"/>
      <c r="R4" s="417">
        <v>45823</v>
      </c>
      <c r="S4" s="417"/>
      <c r="T4" s="417"/>
      <c r="U4" s="171"/>
      <c r="V4" s="69" t="s">
        <v>4</v>
      </c>
      <c r="W4" s="388" t="s">
        <v>2610</v>
      </c>
      <c r="X4" s="255"/>
      <c r="Y4" s="207" t="s">
        <v>2297</v>
      </c>
      <c r="Z4" s="211">
        <v>1</v>
      </c>
      <c r="AB4" s="423" t="s">
        <v>2595</v>
      </c>
      <c r="AC4" s="424"/>
      <c r="AD4" s="424"/>
      <c r="AE4" s="424"/>
      <c r="AF4" s="425"/>
      <c r="AG4" s="390" t="s">
        <v>4</v>
      </c>
      <c r="AH4" s="438" t="str">
        <f>W4</f>
        <v>Gregory Mill WO#C5364027-00086.01</v>
      </c>
      <c r="AI4" s="438"/>
      <c r="AJ4" s="438"/>
      <c r="AK4" s="438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35" t="s">
        <v>2498</v>
      </c>
      <c r="BC4" s="435"/>
      <c r="BD4" s="435"/>
      <c r="BE4" s="435"/>
      <c r="BF4" s="435"/>
      <c r="BG4" s="435"/>
      <c r="BH4" s="435"/>
      <c r="BI4" s="435"/>
      <c r="BJ4" s="435"/>
      <c r="BO4" s="196"/>
    </row>
    <row r="5" spans="1:67" s="53" customFormat="1" ht="15.95" customHeight="1">
      <c r="A5" s="198"/>
      <c r="B5" s="64"/>
      <c r="C5" s="57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57"/>
      <c r="Q5" s="57"/>
      <c r="R5" s="57"/>
      <c r="T5" s="57"/>
      <c r="U5" s="57"/>
      <c r="V5" s="66"/>
      <c r="W5" s="163" t="s">
        <v>2611</v>
      </c>
      <c r="X5" s="163"/>
      <c r="Y5" s="163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108</v>
      </c>
      <c r="C6" s="57"/>
      <c r="D6" s="429"/>
      <c r="E6" s="429"/>
      <c r="F6" s="429"/>
      <c r="G6" s="429"/>
      <c r="H6" s="429"/>
      <c r="I6" s="77" t="s">
        <v>109</v>
      </c>
      <c r="J6" s="430"/>
      <c r="K6" s="430"/>
      <c r="L6" s="430"/>
      <c r="M6" s="430"/>
      <c r="N6" s="430"/>
      <c r="O6" s="430"/>
      <c r="P6" s="57"/>
      <c r="Q6" s="172" t="s">
        <v>91</v>
      </c>
      <c r="R6" s="65"/>
      <c r="S6" s="65"/>
      <c r="T6" s="378"/>
      <c r="U6" s="75"/>
      <c r="V6" s="66"/>
      <c r="W6" s="163" t="s">
        <v>2612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431"/>
      <c r="E7" s="431"/>
      <c r="F7" s="431"/>
      <c r="G7" s="431"/>
      <c r="H7" s="431"/>
      <c r="I7" s="64" t="s">
        <v>111</v>
      </c>
      <c r="J7" s="432"/>
      <c r="K7" s="433"/>
      <c r="L7" s="433"/>
      <c r="M7" s="433"/>
      <c r="N7" s="433"/>
      <c r="O7" s="433"/>
      <c r="P7" s="57"/>
      <c r="Q7" s="79"/>
      <c r="R7" s="57"/>
      <c r="S7" s="57"/>
      <c r="T7" s="57"/>
      <c r="U7" s="75"/>
      <c r="V7" s="66"/>
      <c r="W7" s="78" t="s">
        <v>2613</v>
      </c>
      <c r="X7" s="163"/>
      <c r="Y7" s="163"/>
      <c r="Z7" s="66"/>
      <c r="AD7" s="304" t="s">
        <v>2594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67</v>
      </c>
      <c r="AK8" s="440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18" t="s">
        <v>127</v>
      </c>
      <c r="AI9" s="418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19"/>
      <c r="AI10" s="419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2632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2614</v>
      </c>
      <c r="C11" s="155" t="s">
        <v>122</v>
      </c>
      <c r="D11" s="112"/>
      <c r="E11" s="113">
        <v>1</v>
      </c>
      <c r="F11" s="113" t="s">
        <v>144</v>
      </c>
      <c r="G11" s="111">
        <v>34</v>
      </c>
      <c r="H11" s="114">
        <v>3.5</v>
      </c>
      <c r="I11" s="111">
        <v>57.5</v>
      </c>
      <c r="J11" s="245" t="str">
        <f>IF(F11="l","left",IF(F11="r","right",IF(F11="f","flat",IF(F11="d","dead",IF(F11="s","sor",IF(F11="st","sor t&amp;b",0))))))</f>
        <v>dead</v>
      </c>
      <c r="K11" s="245">
        <f>+G11</f>
        <v>34</v>
      </c>
      <c r="L11" s="246" t="str">
        <f>IF(F11&gt;"r",0,IF(G11&gt;0,"+",0))</f>
        <v>+</v>
      </c>
      <c r="M11" s="247">
        <f t="shared" ref="M11:M30" si="0">IF(F11="F",0,IF(F11&gt;"r",0,AZ11))</f>
        <v>6.5</v>
      </c>
      <c r="N11" s="248" t="str">
        <f>IF(G11&gt;0,"x",0)</f>
        <v>x</v>
      </c>
      <c r="O11" s="249">
        <f t="shared" ref="O11:O30" si="1">+I11</f>
        <v>57.5</v>
      </c>
      <c r="P11" s="250">
        <f t="shared" ref="P11:P30" si="2">IF($G11&gt;0,VLOOKUP($W11,$BK$12:$BL$40,2,FALSE)," ")</f>
        <v>74</v>
      </c>
      <c r="Q11" s="354">
        <f>IF(D11+E11&gt;0,IF(F11&gt;"u",0,IF(BA11="RR","RR",+BB11)),0)</f>
        <v>1.4000000000000001</v>
      </c>
      <c r="R11" s="353">
        <f t="shared" ref="R11:R30" si="3">IF($C11&gt;0,VLOOKUP($X11,$BK$28:$BL$40,2,FALSE)," ")</f>
        <v>62</v>
      </c>
      <c r="S11" s="355">
        <f>IF($C11&gt;0,ROUND(IF($R11&lt;59,($K11+$M11)/23,IF($R11&lt;65,($K11+$M11)/25,IF($R11&lt;75,($K11+$M11)/30,"RR"))),1)," ")</f>
        <v>1.6</v>
      </c>
      <c r="T11" s="113"/>
      <c r="U11" s="244">
        <f t="shared" ref="U11:U30" si="4">+D11+E11</f>
        <v>1</v>
      </c>
      <c r="V11" s="221" t="s">
        <v>2615</v>
      </c>
      <c r="W11" s="221" t="s">
        <v>2499</v>
      </c>
      <c r="X11" s="222" t="s">
        <v>159</v>
      </c>
      <c r="Y11" s="57"/>
      <c r="Z11" s="57"/>
      <c r="AA11" s="362">
        <f t="shared" ref="AA11:AA30" si="5">IF(D11+E11&gt;0,IF(F11&gt;"u",0,IF(BA11="RR","RR",ROUND(BA11,1))),0)</f>
        <v>1.4</v>
      </c>
      <c r="AB11" s="357">
        <f t="shared" ref="AB11:AB30" si="6">IF(D11+E11&gt;0,IF(P11&gt;75,BD11,+BC11),0)</f>
        <v>2</v>
      </c>
      <c r="AC11" s="358">
        <f t="shared" ref="AC11:AC30" si="7">IF(D11+E11&gt;0,IF(P11&gt;75,BI11,BE11),0)</f>
        <v>3</v>
      </c>
      <c r="AD11" s="359">
        <f t="shared" ref="AD11:AD30" si="8">IF($C11&gt;0,ROUNDUP((($K11+$M11)/25),0)," ")</f>
        <v>2</v>
      </c>
      <c r="AE11" s="368">
        <f t="shared" ref="AE11:AE30" si="9">IF(C11&gt;0,(O11+10)*AD11/36,0)</f>
        <v>3.75</v>
      </c>
      <c r="AF11" s="57" t="s">
        <v>24</v>
      </c>
      <c r="AG11" s="116">
        <f t="shared" ref="AG11:AG30" si="10">+G11*I11/144*(D11+E11)</f>
        <v>13.576388888888889</v>
      </c>
      <c r="AH11" s="113">
        <v>45</v>
      </c>
      <c r="AI11" s="113">
        <v>15</v>
      </c>
      <c r="AJ11" s="113">
        <v>35</v>
      </c>
      <c r="AK11" s="117"/>
      <c r="AL11" s="259">
        <f t="shared" ref="AL11:AL30" si="11">IF(C11&gt;0,AB11*Lining_Sew_Price)+AB11*sew_price*squeeze</f>
        <v>180</v>
      </c>
      <c r="AM11" s="118" t="str">
        <f t="shared" ref="AM11:AM30" si="12">IF($R$34=1,AB11*install_price*squeeze," ")</f>
        <v xml:space="preserve"> </v>
      </c>
      <c r="AN11" s="260">
        <f t="shared" ref="AN11:AN30" si="13">U11*AJ11*squeeze</f>
        <v>35</v>
      </c>
      <c r="AO11" s="118">
        <f t="shared" ref="AO11:AO30" si="14">AC11*AH11*squeeze</f>
        <v>135</v>
      </c>
      <c r="AP11" s="118">
        <f t="shared" ref="AP11:AP30" si="15">IF(C11&gt;0,AE11*AI11*squeeze," ")</f>
        <v>56.25</v>
      </c>
      <c r="AQ11" s="118">
        <f t="shared" ref="AQ11:AQ30" si="16">+AK11*squeeze</f>
        <v>0</v>
      </c>
      <c r="AR11" s="119">
        <f t="shared" ref="AR11:AR30" si="17">SUM(AL11:AQ11)</f>
        <v>406.25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6.5</v>
      </c>
      <c r="BA11" s="120">
        <f t="shared" ref="BA11:BA30" si="18">IF($P11&gt;77,"RR", (($K11+$M11)*$AE$7)/$P11)</f>
        <v>1.3682432432432432</v>
      </c>
      <c r="BB11" s="120">
        <f>(+ROUNDUP(BA11*2,1))/2</f>
        <v>1.4000000000000001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2</v>
      </c>
      <c r="BE11" s="120">
        <f>(ROUNDUP(2*BF11,0))/2</f>
        <v>3</v>
      </c>
      <c r="BF11" s="120">
        <f t="shared" ref="BF11:BF30" si="21">((IF(T11:T116,BH11,BG11))*AA11/36)*(IF(D11&gt;0,D11,E11))</f>
        <v>2.8583333333333329</v>
      </c>
      <c r="BG11" s="120">
        <f t="shared" ref="BG11:BG30" si="22">I11+16</f>
        <v>73.5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4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2614</v>
      </c>
      <c r="C12" s="155" t="s">
        <v>122</v>
      </c>
      <c r="D12" s="112"/>
      <c r="E12" s="113">
        <v>1</v>
      </c>
      <c r="F12" s="113" t="s">
        <v>144</v>
      </c>
      <c r="G12" s="111">
        <v>34</v>
      </c>
      <c r="H12" s="114">
        <v>3.5</v>
      </c>
      <c r="I12" s="111">
        <v>57.5</v>
      </c>
      <c r="J12" s="245" t="str">
        <f t="shared" ref="J12:J30" si="25">IF(F12="l","left",IF(F12="r","right",IF(F12="f","flat",IF(F12="d","dead",IF(F12="s","sor",IF(F12="st","sor t&amp;b",0))))))</f>
        <v>dead</v>
      </c>
      <c r="K12" s="245">
        <f t="shared" ref="K12:K30" si="26">+G12</f>
        <v>34</v>
      </c>
      <c r="L12" s="246" t="str">
        <f t="shared" ref="L12:L30" si="27">IF(F12&gt;"r",0,IF(G12&gt;0,"+",0))</f>
        <v>+</v>
      </c>
      <c r="M12" s="247">
        <f t="shared" si="0"/>
        <v>6.5</v>
      </c>
      <c r="N12" s="248" t="str">
        <f t="shared" ref="N12:N30" si="28">IF(G12&gt;0,"x",0)</f>
        <v>x</v>
      </c>
      <c r="O12" s="249">
        <f t="shared" si="1"/>
        <v>57.5</v>
      </c>
      <c r="P12" s="250">
        <f t="shared" si="2"/>
        <v>74</v>
      </c>
      <c r="Q12" s="354">
        <f t="shared" ref="Q12:Q30" si="29">IF(D12+E12&gt;0,IF(F12&gt;"u",0,IF(BA12="RR","RR",+BB12)),0)</f>
        <v>1.4000000000000001</v>
      </c>
      <c r="R12" s="250">
        <f t="shared" si="3"/>
        <v>62</v>
      </c>
      <c r="S12" s="355">
        <f t="shared" ref="S12:S30" si="30">IF($C12&gt;0,ROUND(IF($R12&lt;59,($K12+$M12)/23,IF($R12&lt;65,($K12+$M12)/25,IF($R12&lt;75,($K12+$M12)/30,"RR"))),1)," ")</f>
        <v>1.6</v>
      </c>
      <c r="T12" s="113"/>
      <c r="U12" s="244">
        <f t="shared" si="4"/>
        <v>1</v>
      </c>
      <c r="V12" s="221" t="s">
        <v>2615</v>
      </c>
      <c r="W12" s="221" t="s">
        <v>2499</v>
      </c>
      <c r="X12" s="222" t="s">
        <v>159</v>
      </c>
      <c r="Y12" s="57"/>
      <c r="Z12" s="57"/>
      <c r="AA12" s="362">
        <f t="shared" si="5"/>
        <v>1.4</v>
      </c>
      <c r="AB12" s="357">
        <f t="shared" si="6"/>
        <v>2</v>
      </c>
      <c r="AC12" s="358">
        <f t="shared" si="7"/>
        <v>3</v>
      </c>
      <c r="AD12" s="359">
        <f t="shared" si="8"/>
        <v>2</v>
      </c>
      <c r="AE12" s="368">
        <f t="shared" si="9"/>
        <v>3.75</v>
      </c>
      <c r="AF12" s="57" t="s">
        <v>25</v>
      </c>
      <c r="AG12" s="116">
        <f t="shared" si="10"/>
        <v>13.576388888888889</v>
      </c>
      <c r="AH12" s="113">
        <v>45</v>
      </c>
      <c r="AI12" s="113">
        <v>15</v>
      </c>
      <c r="AJ12" s="113">
        <v>35</v>
      </c>
      <c r="AK12" s="117"/>
      <c r="AL12" s="259">
        <f t="shared" si="11"/>
        <v>180</v>
      </c>
      <c r="AM12" s="118" t="str">
        <f t="shared" si="12"/>
        <v xml:space="preserve"> </v>
      </c>
      <c r="AN12" s="260">
        <f t="shared" si="13"/>
        <v>35</v>
      </c>
      <c r="AO12" s="118">
        <f t="shared" si="14"/>
        <v>135</v>
      </c>
      <c r="AP12" s="118">
        <f t="shared" si="15"/>
        <v>56.25</v>
      </c>
      <c r="AQ12" s="118">
        <f t="shared" si="16"/>
        <v>0</v>
      </c>
      <c r="AR12" s="119">
        <f t="shared" si="17"/>
        <v>406.25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0">
        <f t="shared" si="18"/>
        <v>1.3682432432432432</v>
      </c>
      <c r="BB12" s="120">
        <f t="shared" ref="BB12:BB30" si="32">(+ROUNDUP(BA12*2,1))/2</f>
        <v>1.4000000000000001</v>
      </c>
      <c r="BC12" s="121">
        <f t="shared" si="19"/>
        <v>2</v>
      </c>
      <c r="BD12" s="121">
        <f t="shared" si="20"/>
        <v>2</v>
      </c>
      <c r="BE12" s="120">
        <f t="shared" ref="BE12:BE30" si="33">(ROUNDUP(2*BF12,0))/2</f>
        <v>3</v>
      </c>
      <c r="BF12" s="120">
        <f t="shared" si="21"/>
        <v>2.8583333333333329</v>
      </c>
      <c r="BG12" s="120">
        <f t="shared" si="22"/>
        <v>73.5</v>
      </c>
      <c r="BH12" s="120" t="e">
        <f t="shared" si="23"/>
        <v>#DIV/0!</v>
      </c>
      <c r="BI12" s="122">
        <f t="shared" si="24"/>
        <v>4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2614</v>
      </c>
      <c r="C13" s="155" t="s">
        <v>122</v>
      </c>
      <c r="D13" s="112"/>
      <c r="E13" s="113">
        <v>1</v>
      </c>
      <c r="F13" s="113" t="s">
        <v>144</v>
      </c>
      <c r="G13" s="111">
        <v>34</v>
      </c>
      <c r="H13" s="114">
        <v>3.5</v>
      </c>
      <c r="I13" s="111">
        <v>57.5</v>
      </c>
      <c r="J13" s="245" t="str">
        <f t="shared" si="25"/>
        <v>dead</v>
      </c>
      <c r="K13" s="245">
        <f t="shared" si="26"/>
        <v>34</v>
      </c>
      <c r="L13" s="246" t="str">
        <f t="shared" si="27"/>
        <v>+</v>
      </c>
      <c r="M13" s="247">
        <f t="shared" si="0"/>
        <v>6.5</v>
      </c>
      <c r="N13" s="248" t="str">
        <f t="shared" si="28"/>
        <v>x</v>
      </c>
      <c r="O13" s="249">
        <f t="shared" si="1"/>
        <v>57.5</v>
      </c>
      <c r="P13" s="250">
        <f t="shared" si="2"/>
        <v>74</v>
      </c>
      <c r="Q13" s="354">
        <f t="shared" si="29"/>
        <v>1.4000000000000001</v>
      </c>
      <c r="R13" s="250">
        <f t="shared" si="3"/>
        <v>62</v>
      </c>
      <c r="S13" s="355">
        <f t="shared" si="30"/>
        <v>1.6</v>
      </c>
      <c r="T13" s="113"/>
      <c r="U13" s="244">
        <f t="shared" si="4"/>
        <v>1</v>
      </c>
      <c r="V13" s="221" t="s">
        <v>2615</v>
      </c>
      <c r="W13" s="221" t="s">
        <v>2499</v>
      </c>
      <c r="X13" s="222" t="s">
        <v>159</v>
      </c>
      <c r="Y13" s="57"/>
      <c r="Z13" s="57"/>
      <c r="AA13" s="362">
        <f t="shared" si="5"/>
        <v>1.4</v>
      </c>
      <c r="AB13" s="357">
        <f t="shared" si="6"/>
        <v>2</v>
      </c>
      <c r="AC13" s="358">
        <f t="shared" si="7"/>
        <v>3</v>
      </c>
      <c r="AD13" s="359">
        <f t="shared" si="8"/>
        <v>2</v>
      </c>
      <c r="AE13" s="368">
        <f t="shared" si="9"/>
        <v>3.75</v>
      </c>
      <c r="AF13" s="57" t="s">
        <v>26</v>
      </c>
      <c r="AG13" s="116">
        <f t="shared" si="10"/>
        <v>13.576388888888889</v>
      </c>
      <c r="AH13" s="113">
        <v>45</v>
      </c>
      <c r="AI13" s="113">
        <v>15</v>
      </c>
      <c r="AJ13" s="113">
        <v>35</v>
      </c>
      <c r="AK13" s="117"/>
      <c r="AL13" s="259">
        <f t="shared" si="11"/>
        <v>180</v>
      </c>
      <c r="AM13" s="118" t="str">
        <f t="shared" si="12"/>
        <v xml:space="preserve"> </v>
      </c>
      <c r="AN13" s="260">
        <f t="shared" si="13"/>
        <v>35</v>
      </c>
      <c r="AO13" s="118">
        <f t="shared" si="14"/>
        <v>135</v>
      </c>
      <c r="AP13" s="118">
        <f t="shared" si="15"/>
        <v>56.25</v>
      </c>
      <c r="AQ13" s="118">
        <f t="shared" si="16"/>
        <v>0</v>
      </c>
      <c r="AR13" s="119">
        <f t="shared" si="17"/>
        <v>406.25</v>
      </c>
      <c r="AS13" s="184"/>
      <c r="AZ13" s="120">
        <f t="shared" si="31"/>
        <v>6.5</v>
      </c>
      <c r="BA13" s="120">
        <f t="shared" si="18"/>
        <v>1.3682432432432432</v>
      </c>
      <c r="BB13" s="120">
        <f t="shared" si="32"/>
        <v>1.4000000000000001</v>
      </c>
      <c r="BC13" s="121">
        <f t="shared" si="19"/>
        <v>2</v>
      </c>
      <c r="BD13" s="121">
        <f t="shared" si="20"/>
        <v>2</v>
      </c>
      <c r="BE13" s="120">
        <f t="shared" si="33"/>
        <v>3</v>
      </c>
      <c r="BF13" s="120">
        <f t="shared" si="21"/>
        <v>2.8583333333333329</v>
      </c>
      <c r="BG13" s="120">
        <f t="shared" si="22"/>
        <v>73.5</v>
      </c>
      <c r="BH13" s="120" t="e">
        <f t="shared" si="23"/>
        <v>#DIV/0!</v>
      </c>
      <c r="BI13" s="122">
        <f t="shared" si="24"/>
        <v>4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2614</v>
      </c>
      <c r="C14" s="155" t="s">
        <v>122</v>
      </c>
      <c r="D14" s="112"/>
      <c r="E14" s="113">
        <v>1</v>
      </c>
      <c r="F14" s="113" t="s">
        <v>144</v>
      </c>
      <c r="G14" s="111">
        <v>34</v>
      </c>
      <c r="H14" s="114">
        <v>3.5</v>
      </c>
      <c r="I14" s="111">
        <v>57.5</v>
      </c>
      <c r="J14" s="245" t="str">
        <f t="shared" si="25"/>
        <v>dead</v>
      </c>
      <c r="K14" s="245">
        <f t="shared" si="26"/>
        <v>34</v>
      </c>
      <c r="L14" s="246" t="str">
        <f t="shared" si="27"/>
        <v>+</v>
      </c>
      <c r="M14" s="247">
        <f t="shared" si="0"/>
        <v>6.5</v>
      </c>
      <c r="N14" s="248" t="str">
        <f t="shared" si="28"/>
        <v>x</v>
      </c>
      <c r="O14" s="249">
        <f t="shared" si="1"/>
        <v>57.5</v>
      </c>
      <c r="P14" s="250">
        <f t="shared" si="2"/>
        <v>74</v>
      </c>
      <c r="Q14" s="354">
        <f t="shared" si="29"/>
        <v>1.4000000000000001</v>
      </c>
      <c r="R14" s="250">
        <f t="shared" si="3"/>
        <v>62</v>
      </c>
      <c r="S14" s="355">
        <f t="shared" si="30"/>
        <v>1.6</v>
      </c>
      <c r="T14" s="113">
        <v>0</v>
      </c>
      <c r="U14" s="244">
        <f t="shared" si="4"/>
        <v>1</v>
      </c>
      <c r="V14" s="221" t="s">
        <v>2615</v>
      </c>
      <c r="W14" s="221" t="s">
        <v>2499</v>
      </c>
      <c r="X14" s="222" t="s">
        <v>159</v>
      </c>
      <c r="Y14" s="57"/>
      <c r="Z14" s="57"/>
      <c r="AA14" s="362">
        <f t="shared" si="5"/>
        <v>1.4</v>
      </c>
      <c r="AB14" s="357">
        <f t="shared" si="6"/>
        <v>2</v>
      </c>
      <c r="AC14" s="358">
        <f t="shared" si="7"/>
        <v>3</v>
      </c>
      <c r="AD14" s="359">
        <f t="shared" si="8"/>
        <v>2</v>
      </c>
      <c r="AE14" s="368">
        <f t="shared" si="9"/>
        <v>3.75</v>
      </c>
      <c r="AF14" s="57" t="s">
        <v>27</v>
      </c>
      <c r="AG14" s="116">
        <f t="shared" si="10"/>
        <v>13.576388888888889</v>
      </c>
      <c r="AH14" s="113">
        <v>45</v>
      </c>
      <c r="AI14" s="113">
        <v>15</v>
      </c>
      <c r="AJ14" s="113">
        <v>35</v>
      </c>
      <c r="AK14" s="117"/>
      <c r="AL14" s="259">
        <f t="shared" si="11"/>
        <v>180</v>
      </c>
      <c r="AM14" s="118" t="str">
        <f t="shared" si="12"/>
        <v xml:space="preserve"> </v>
      </c>
      <c r="AN14" s="260">
        <f t="shared" si="13"/>
        <v>35</v>
      </c>
      <c r="AO14" s="118">
        <f t="shared" si="14"/>
        <v>135</v>
      </c>
      <c r="AP14" s="118">
        <f t="shared" si="15"/>
        <v>56.25</v>
      </c>
      <c r="AQ14" s="118">
        <f t="shared" si="16"/>
        <v>0</v>
      </c>
      <c r="AR14" s="119">
        <f t="shared" si="17"/>
        <v>406.25</v>
      </c>
      <c r="AS14" s="184"/>
      <c r="AZ14" s="120">
        <f t="shared" si="31"/>
        <v>6.5</v>
      </c>
      <c r="BA14" s="120">
        <f t="shared" si="18"/>
        <v>1.3682432432432432</v>
      </c>
      <c r="BB14" s="120">
        <f t="shared" si="32"/>
        <v>1.4000000000000001</v>
      </c>
      <c r="BC14" s="121">
        <f t="shared" si="19"/>
        <v>2</v>
      </c>
      <c r="BD14" s="121">
        <f t="shared" si="20"/>
        <v>2</v>
      </c>
      <c r="BE14" s="120">
        <f t="shared" si="33"/>
        <v>3</v>
      </c>
      <c r="BF14" s="120">
        <f t="shared" si="21"/>
        <v>2.8583333333333329</v>
      </c>
      <c r="BG14" s="120">
        <f t="shared" si="22"/>
        <v>73.5</v>
      </c>
      <c r="BH14" s="120" t="e">
        <f t="shared" si="23"/>
        <v>#DIV/0!</v>
      </c>
      <c r="BI14" s="122">
        <f t="shared" si="24"/>
        <v>4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2623</v>
      </c>
      <c r="C15" s="155" t="s">
        <v>122</v>
      </c>
      <c r="D15" s="112"/>
      <c r="E15" s="113">
        <v>1</v>
      </c>
      <c r="F15" s="113" t="s">
        <v>144</v>
      </c>
      <c r="G15" s="111">
        <v>34</v>
      </c>
      <c r="H15" s="114">
        <v>3.5</v>
      </c>
      <c r="I15" s="111">
        <v>57.5</v>
      </c>
      <c r="J15" s="245" t="str">
        <f t="shared" si="25"/>
        <v>dead</v>
      </c>
      <c r="K15" s="245">
        <f t="shared" si="26"/>
        <v>34</v>
      </c>
      <c r="L15" s="246" t="str">
        <f t="shared" si="27"/>
        <v>+</v>
      </c>
      <c r="M15" s="247">
        <f t="shared" si="0"/>
        <v>6.5</v>
      </c>
      <c r="N15" s="248" t="str">
        <f t="shared" si="28"/>
        <v>x</v>
      </c>
      <c r="O15" s="249">
        <f t="shared" si="1"/>
        <v>57.5</v>
      </c>
      <c r="P15" s="250">
        <f t="shared" si="2"/>
        <v>74</v>
      </c>
      <c r="Q15" s="354">
        <f t="shared" si="29"/>
        <v>1.4000000000000001</v>
      </c>
      <c r="R15" s="250">
        <f t="shared" si="3"/>
        <v>62</v>
      </c>
      <c r="S15" s="355">
        <f t="shared" si="30"/>
        <v>1.6</v>
      </c>
      <c r="T15" s="113">
        <v>0</v>
      </c>
      <c r="U15" s="244">
        <f t="shared" si="4"/>
        <v>1</v>
      </c>
      <c r="V15" s="221" t="s">
        <v>2615</v>
      </c>
      <c r="W15" s="221" t="s">
        <v>2499</v>
      </c>
      <c r="X15" s="222" t="s">
        <v>159</v>
      </c>
      <c r="Y15" s="57"/>
      <c r="Z15" s="57"/>
      <c r="AA15" s="362">
        <f t="shared" si="5"/>
        <v>1.4</v>
      </c>
      <c r="AB15" s="357">
        <f t="shared" si="6"/>
        <v>2</v>
      </c>
      <c r="AC15" s="358">
        <f t="shared" si="7"/>
        <v>3</v>
      </c>
      <c r="AD15" s="359">
        <f t="shared" si="8"/>
        <v>2</v>
      </c>
      <c r="AE15" s="368">
        <f t="shared" si="9"/>
        <v>3.75</v>
      </c>
      <c r="AF15" s="57" t="s">
        <v>28</v>
      </c>
      <c r="AG15" s="116">
        <f t="shared" si="10"/>
        <v>13.576388888888889</v>
      </c>
      <c r="AH15" s="113">
        <v>45</v>
      </c>
      <c r="AI15" s="113">
        <v>15</v>
      </c>
      <c r="AJ15" s="113">
        <v>35</v>
      </c>
      <c r="AK15" s="117"/>
      <c r="AL15" s="259">
        <f t="shared" si="11"/>
        <v>180</v>
      </c>
      <c r="AM15" s="118" t="str">
        <f t="shared" si="12"/>
        <v xml:space="preserve"> </v>
      </c>
      <c r="AN15" s="260">
        <f t="shared" si="13"/>
        <v>35</v>
      </c>
      <c r="AO15" s="118">
        <f t="shared" si="14"/>
        <v>135</v>
      </c>
      <c r="AP15" s="118">
        <f t="shared" si="15"/>
        <v>56.25</v>
      </c>
      <c r="AQ15" s="118">
        <f t="shared" si="16"/>
        <v>0</v>
      </c>
      <c r="AR15" s="119">
        <f t="shared" si="17"/>
        <v>406.25</v>
      </c>
      <c r="AS15" s="184"/>
      <c r="AZ15" s="120">
        <f t="shared" si="31"/>
        <v>6.5</v>
      </c>
      <c r="BA15" s="120">
        <f t="shared" si="18"/>
        <v>1.3682432432432432</v>
      </c>
      <c r="BB15" s="120">
        <f t="shared" si="32"/>
        <v>1.4000000000000001</v>
      </c>
      <c r="BC15" s="121">
        <f t="shared" si="19"/>
        <v>2</v>
      </c>
      <c r="BD15" s="121">
        <f t="shared" si="20"/>
        <v>2</v>
      </c>
      <c r="BE15" s="120">
        <f t="shared" si="33"/>
        <v>3</v>
      </c>
      <c r="BF15" s="120">
        <f t="shared" si="21"/>
        <v>2.8583333333333329</v>
      </c>
      <c r="BG15" s="120">
        <f t="shared" si="22"/>
        <v>73.5</v>
      </c>
      <c r="BH15" s="120" t="e">
        <f t="shared" si="23"/>
        <v>#DIV/0!</v>
      </c>
      <c r="BI15" s="122">
        <f t="shared" si="24"/>
        <v>4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2623</v>
      </c>
      <c r="C16" s="155" t="s">
        <v>122</v>
      </c>
      <c r="D16" s="112"/>
      <c r="E16" s="113">
        <v>1</v>
      </c>
      <c r="F16" s="113" t="s">
        <v>144</v>
      </c>
      <c r="G16" s="111">
        <v>34</v>
      </c>
      <c r="H16" s="114">
        <v>3.5</v>
      </c>
      <c r="I16" s="111">
        <v>57.5</v>
      </c>
      <c r="J16" s="245" t="str">
        <f t="shared" si="25"/>
        <v>dead</v>
      </c>
      <c r="K16" s="245">
        <f t="shared" si="26"/>
        <v>34</v>
      </c>
      <c r="L16" s="246" t="str">
        <f t="shared" si="27"/>
        <v>+</v>
      </c>
      <c r="M16" s="247">
        <f t="shared" si="0"/>
        <v>6.5</v>
      </c>
      <c r="N16" s="248" t="str">
        <f t="shared" si="28"/>
        <v>x</v>
      </c>
      <c r="O16" s="249">
        <f t="shared" si="1"/>
        <v>57.5</v>
      </c>
      <c r="P16" s="250">
        <f t="shared" si="2"/>
        <v>74</v>
      </c>
      <c r="Q16" s="354">
        <f t="shared" si="29"/>
        <v>1.4000000000000001</v>
      </c>
      <c r="R16" s="250">
        <f t="shared" si="3"/>
        <v>62</v>
      </c>
      <c r="S16" s="355">
        <f t="shared" si="30"/>
        <v>1.6</v>
      </c>
      <c r="T16" s="113">
        <v>0</v>
      </c>
      <c r="U16" s="244">
        <f t="shared" si="4"/>
        <v>1</v>
      </c>
      <c r="V16" s="221" t="s">
        <v>2615</v>
      </c>
      <c r="W16" s="221" t="s">
        <v>2499</v>
      </c>
      <c r="X16" s="222" t="s">
        <v>159</v>
      </c>
      <c r="Y16" s="57"/>
      <c r="Z16" s="57"/>
      <c r="AA16" s="362">
        <f t="shared" si="5"/>
        <v>1.4</v>
      </c>
      <c r="AB16" s="357">
        <f t="shared" si="6"/>
        <v>2</v>
      </c>
      <c r="AC16" s="358">
        <f t="shared" si="7"/>
        <v>3</v>
      </c>
      <c r="AD16" s="359">
        <f t="shared" si="8"/>
        <v>2</v>
      </c>
      <c r="AE16" s="368">
        <f t="shared" si="9"/>
        <v>3.75</v>
      </c>
      <c r="AF16" s="57" t="s">
        <v>29</v>
      </c>
      <c r="AG16" s="116">
        <f t="shared" si="10"/>
        <v>13.576388888888889</v>
      </c>
      <c r="AH16" s="113">
        <v>45</v>
      </c>
      <c r="AI16" s="113">
        <v>15</v>
      </c>
      <c r="AJ16" s="113">
        <v>35</v>
      </c>
      <c r="AK16" s="117"/>
      <c r="AL16" s="259">
        <f t="shared" si="11"/>
        <v>180</v>
      </c>
      <c r="AM16" s="118" t="str">
        <f t="shared" si="12"/>
        <v xml:space="preserve"> </v>
      </c>
      <c r="AN16" s="260">
        <f t="shared" si="13"/>
        <v>35</v>
      </c>
      <c r="AO16" s="118">
        <f t="shared" si="14"/>
        <v>135</v>
      </c>
      <c r="AP16" s="118">
        <f t="shared" si="15"/>
        <v>56.25</v>
      </c>
      <c r="AQ16" s="118">
        <f t="shared" si="16"/>
        <v>0</v>
      </c>
      <c r="AR16" s="119">
        <f t="shared" si="17"/>
        <v>406.25</v>
      </c>
      <c r="AS16" s="184"/>
      <c r="AZ16" s="120">
        <f t="shared" si="31"/>
        <v>6.5</v>
      </c>
      <c r="BA16" s="120">
        <f t="shared" si="18"/>
        <v>1.3682432432432432</v>
      </c>
      <c r="BB16" s="120">
        <f t="shared" si="32"/>
        <v>1.4000000000000001</v>
      </c>
      <c r="BC16" s="121">
        <f t="shared" si="19"/>
        <v>2</v>
      </c>
      <c r="BD16" s="121">
        <f t="shared" si="20"/>
        <v>2</v>
      </c>
      <c r="BE16" s="120">
        <f t="shared" si="33"/>
        <v>3</v>
      </c>
      <c r="BF16" s="120">
        <f t="shared" si="21"/>
        <v>2.8583333333333329</v>
      </c>
      <c r="BG16" s="120">
        <f t="shared" si="22"/>
        <v>73.5</v>
      </c>
      <c r="BH16" s="120" t="e">
        <f t="shared" si="23"/>
        <v>#DIV/0!</v>
      </c>
      <c r="BI16" s="122">
        <f t="shared" si="24"/>
        <v>4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2623</v>
      </c>
      <c r="C17" s="155" t="s">
        <v>122</v>
      </c>
      <c r="D17" s="112"/>
      <c r="E17" s="113">
        <v>1</v>
      </c>
      <c r="F17" s="113" t="s">
        <v>144</v>
      </c>
      <c r="G17" s="111">
        <v>34</v>
      </c>
      <c r="H17" s="114">
        <v>3.5</v>
      </c>
      <c r="I17" s="111">
        <v>57.5</v>
      </c>
      <c r="J17" s="245" t="str">
        <f t="shared" si="25"/>
        <v>dead</v>
      </c>
      <c r="K17" s="245">
        <f t="shared" si="26"/>
        <v>34</v>
      </c>
      <c r="L17" s="246" t="str">
        <f t="shared" si="27"/>
        <v>+</v>
      </c>
      <c r="M17" s="247">
        <f t="shared" si="0"/>
        <v>6.5</v>
      </c>
      <c r="N17" s="248" t="str">
        <f t="shared" si="28"/>
        <v>x</v>
      </c>
      <c r="O17" s="249">
        <f t="shared" si="1"/>
        <v>57.5</v>
      </c>
      <c r="P17" s="250">
        <f t="shared" si="2"/>
        <v>74</v>
      </c>
      <c r="Q17" s="354">
        <f t="shared" si="29"/>
        <v>1.4000000000000001</v>
      </c>
      <c r="R17" s="250">
        <f t="shared" si="3"/>
        <v>62</v>
      </c>
      <c r="S17" s="355">
        <f t="shared" si="30"/>
        <v>1.6</v>
      </c>
      <c r="T17" s="113">
        <v>0</v>
      </c>
      <c r="U17" s="244">
        <f t="shared" si="4"/>
        <v>1</v>
      </c>
      <c r="V17" s="221" t="s">
        <v>2615</v>
      </c>
      <c r="W17" s="221" t="s">
        <v>2499</v>
      </c>
      <c r="X17" s="222" t="s">
        <v>159</v>
      </c>
      <c r="Y17" s="57"/>
      <c r="Z17" s="57"/>
      <c r="AA17" s="362">
        <f t="shared" si="5"/>
        <v>1.4</v>
      </c>
      <c r="AB17" s="357">
        <f t="shared" si="6"/>
        <v>2</v>
      </c>
      <c r="AC17" s="358">
        <f t="shared" si="7"/>
        <v>3</v>
      </c>
      <c r="AD17" s="359">
        <f t="shared" si="8"/>
        <v>2</v>
      </c>
      <c r="AE17" s="368">
        <f t="shared" si="9"/>
        <v>3.75</v>
      </c>
      <c r="AF17" s="57" t="s">
        <v>30</v>
      </c>
      <c r="AG17" s="116">
        <f t="shared" si="10"/>
        <v>13.576388888888889</v>
      </c>
      <c r="AH17" s="113">
        <v>45</v>
      </c>
      <c r="AI17" s="113">
        <v>15</v>
      </c>
      <c r="AJ17" s="113">
        <v>35</v>
      </c>
      <c r="AK17" s="117"/>
      <c r="AL17" s="259">
        <f t="shared" si="11"/>
        <v>180</v>
      </c>
      <c r="AM17" s="118" t="str">
        <f t="shared" si="12"/>
        <v xml:space="preserve"> </v>
      </c>
      <c r="AN17" s="260">
        <f t="shared" si="13"/>
        <v>35</v>
      </c>
      <c r="AO17" s="118">
        <f t="shared" si="14"/>
        <v>135</v>
      </c>
      <c r="AP17" s="118">
        <f t="shared" si="15"/>
        <v>56.25</v>
      </c>
      <c r="AQ17" s="118">
        <f t="shared" si="16"/>
        <v>0</v>
      </c>
      <c r="AR17" s="119">
        <f t="shared" si="17"/>
        <v>406.25</v>
      </c>
      <c r="AS17" s="184"/>
      <c r="AZ17" s="120">
        <f t="shared" si="31"/>
        <v>6.5</v>
      </c>
      <c r="BA17" s="120">
        <f t="shared" si="18"/>
        <v>1.3682432432432432</v>
      </c>
      <c r="BB17" s="120">
        <f t="shared" si="32"/>
        <v>1.4000000000000001</v>
      </c>
      <c r="BC17" s="121">
        <f t="shared" si="19"/>
        <v>2</v>
      </c>
      <c r="BD17" s="121">
        <f t="shared" si="20"/>
        <v>2</v>
      </c>
      <c r="BE17" s="120">
        <f t="shared" si="33"/>
        <v>3</v>
      </c>
      <c r="BF17" s="120">
        <f t="shared" si="21"/>
        <v>2.8583333333333329</v>
      </c>
      <c r="BG17" s="120">
        <f t="shared" si="22"/>
        <v>73.5</v>
      </c>
      <c r="BH17" s="120" t="e">
        <f t="shared" si="23"/>
        <v>#DIV/0!</v>
      </c>
      <c r="BI17" s="122">
        <f t="shared" si="24"/>
        <v>4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 t="s">
        <v>2623</v>
      </c>
      <c r="C18" s="155" t="s">
        <v>122</v>
      </c>
      <c r="D18" s="112"/>
      <c r="E18" s="113">
        <v>1</v>
      </c>
      <c r="F18" s="113" t="s">
        <v>144</v>
      </c>
      <c r="G18" s="111">
        <v>34</v>
      </c>
      <c r="H18" s="114">
        <v>3.5</v>
      </c>
      <c r="I18" s="111">
        <v>57.5</v>
      </c>
      <c r="J18" s="245" t="str">
        <f t="shared" si="25"/>
        <v>dead</v>
      </c>
      <c r="K18" s="245">
        <f t="shared" si="26"/>
        <v>34</v>
      </c>
      <c r="L18" s="246" t="str">
        <f t="shared" si="27"/>
        <v>+</v>
      </c>
      <c r="M18" s="247">
        <f t="shared" si="0"/>
        <v>6.5</v>
      </c>
      <c r="N18" s="248" t="str">
        <f t="shared" si="28"/>
        <v>x</v>
      </c>
      <c r="O18" s="249">
        <f t="shared" si="1"/>
        <v>57.5</v>
      </c>
      <c r="P18" s="250">
        <f t="shared" si="2"/>
        <v>74</v>
      </c>
      <c r="Q18" s="354">
        <f t="shared" si="29"/>
        <v>1.4000000000000001</v>
      </c>
      <c r="R18" s="250">
        <f t="shared" si="3"/>
        <v>62</v>
      </c>
      <c r="S18" s="355">
        <f t="shared" si="30"/>
        <v>1.6</v>
      </c>
      <c r="T18" s="113">
        <v>0</v>
      </c>
      <c r="U18" s="244">
        <f t="shared" si="4"/>
        <v>1</v>
      </c>
      <c r="V18" s="221" t="s">
        <v>2615</v>
      </c>
      <c r="W18" s="221" t="s">
        <v>2499</v>
      </c>
      <c r="X18" s="222" t="s">
        <v>159</v>
      </c>
      <c r="Y18" s="57"/>
      <c r="Z18" s="57"/>
      <c r="AA18" s="362">
        <f t="shared" si="5"/>
        <v>1.4</v>
      </c>
      <c r="AB18" s="357">
        <f t="shared" si="6"/>
        <v>2</v>
      </c>
      <c r="AC18" s="358">
        <f t="shared" si="7"/>
        <v>3</v>
      </c>
      <c r="AD18" s="359">
        <f t="shared" si="8"/>
        <v>2</v>
      </c>
      <c r="AE18" s="368">
        <f t="shared" si="9"/>
        <v>3.75</v>
      </c>
      <c r="AF18" s="57" t="s">
        <v>31</v>
      </c>
      <c r="AG18" s="116">
        <f t="shared" si="10"/>
        <v>13.576388888888889</v>
      </c>
      <c r="AH18" s="113">
        <v>45</v>
      </c>
      <c r="AI18" s="113">
        <v>15</v>
      </c>
      <c r="AJ18" s="113">
        <v>35</v>
      </c>
      <c r="AK18" s="117"/>
      <c r="AL18" s="259">
        <f t="shared" si="11"/>
        <v>180</v>
      </c>
      <c r="AM18" s="118" t="str">
        <f t="shared" si="12"/>
        <v xml:space="preserve"> </v>
      </c>
      <c r="AN18" s="260">
        <f t="shared" si="13"/>
        <v>35</v>
      </c>
      <c r="AO18" s="118">
        <f t="shared" si="14"/>
        <v>135</v>
      </c>
      <c r="AP18" s="118">
        <f t="shared" si="15"/>
        <v>56.25</v>
      </c>
      <c r="AQ18" s="118">
        <f t="shared" si="16"/>
        <v>0</v>
      </c>
      <c r="AR18" s="119">
        <f t="shared" si="17"/>
        <v>406.25</v>
      </c>
      <c r="AS18" s="184"/>
      <c r="AZ18" s="120">
        <f t="shared" si="31"/>
        <v>6.5</v>
      </c>
      <c r="BA18" s="120">
        <f t="shared" si="18"/>
        <v>1.3682432432432432</v>
      </c>
      <c r="BB18" s="120">
        <f t="shared" si="32"/>
        <v>1.4000000000000001</v>
      </c>
      <c r="BC18" s="121">
        <f t="shared" si="19"/>
        <v>2</v>
      </c>
      <c r="BD18" s="121">
        <f t="shared" si="20"/>
        <v>2</v>
      </c>
      <c r="BE18" s="120">
        <f t="shared" si="33"/>
        <v>3</v>
      </c>
      <c r="BF18" s="120">
        <f t="shared" si="21"/>
        <v>2.8583333333333329</v>
      </c>
      <c r="BG18" s="120">
        <f t="shared" si="22"/>
        <v>73.5</v>
      </c>
      <c r="BH18" s="120" t="e">
        <f t="shared" si="23"/>
        <v>#DIV/0!</v>
      </c>
      <c r="BI18" s="122">
        <f t="shared" si="24"/>
        <v>4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 t="s">
        <v>2624</v>
      </c>
      <c r="C19" s="155" t="s">
        <v>122</v>
      </c>
      <c r="D19" s="112"/>
      <c r="E19" s="113">
        <v>1</v>
      </c>
      <c r="F19" s="113" t="s">
        <v>144</v>
      </c>
      <c r="G19" s="111">
        <v>34</v>
      </c>
      <c r="H19" s="114">
        <v>3.5</v>
      </c>
      <c r="I19" s="111">
        <v>58</v>
      </c>
      <c r="J19" s="245" t="str">
        <f t="shared" si="25"/>
        <v>dead</v>
      </c>
      <c r="K19" s="245">
        <f>+G19</f>
        <v>34</v>
      </c>
      <c r="L19" s="246" t="str">
        <f>IF(F19&gt;"r",0,IF(G19&gt;0,"+",0))</f>
        <v>+</v>
      </c>
      <c r="M19" s="247">
        <f t="shared" si="0"/>
        <v>6.5</v>
      </c>
      <c r="N19" s="248" t="str">
        <f>IF(G19&gt;0,"x",0)</f>
        <v>x</v>
      </c>
      <c r="O19" s="249">
        <f>+I19</f>
        <v>58</v>
      </c>
      <c r="P19" s="250">
        <f t="shared" si="2"/>
        <v>74</v>
      </c>
      <c r="Q19" s="354">
        <f t="shared" si="29"/>
        <v>1.4000000000000001</v>
      </c>
      <c r="R19" s="250">
        <f t="shared" si="3"/>
        <v>60</v>
      </c>
      <c r="S19" s="355">
        <f t="shared" si="30"/>
        <v>1.6</v>
      </c>
      <c r="T19" s="113">
        <v>0</v>
      </c>
      <c r="U19" s="244">
        <f t="shared" si="4"/>
        <v>1</v>
      </c>
      <c r="V19" s="221" t="s">
        <v>2615</v>
      </c>
      <c r="W19" s="221" t="s">
        <v>2499</v>
      </c>
      <c r="X19" s="222" t="s">
        <v>158</v>
      </c>
      <c r="Y19" s="57"/>
      <c r="Z19" s="57"/>
      <c r="AA19" s="362">
        <f t="shared" si="5"/>
        <v>1.4</v>
      </c>
      <c r="AB19" s="357">
        <f t="shared" si="6"/>
        <v>2</v>
      </c>
      <c r="AC19" s="358">
        <f t="shared" si="7"/>
        <v>3</v>
      </c>
      <c r="AD19" s="359">
        <f t="shared" si="8"/>
        <v>2</v>
      </c>
      <c r="AE19" s="368">
        <f t="shared" si="9"/>
        <v>3.7777777777777777</v>
      </c>
      <c r="AF19" s="57" t="s">
        <v>32</v>
      </c>
      <c r="AG19" s="116">
        <f t="shared" si="10"/>
        <v>13.694444444444445</v>
      </c>
      <c r="AH19" s="113">
        <v>45</v>
      </c>
      <c r="AI19" s="113">
        <v>20</v>
      </c>
      <c r="AJ19" s="113">
        <v>35</v>
      </c>
      <c r="AK19" s="117"/>
      <c r="AL19" s="259">
        <f t="shared" si="11"/>
        <v>180</v>
      </c>
      <c r="AM19" s="118" t="str">
        <f t="shared" si="12"/>
        <v xml:space="preserve"> </v>
      </c>
      <c r="AN19" s="260">
        <f t="shared" si="13"/>
        <v>35</v>
      </c>
      <c r="AO19" s="118">
        <f t="shared" si="14"/>
        <v>135</v>
      </c>
      <c r="AP19" s="118">
        <f t="shared" si="15"/>
        <v>75.555555555555557</v>
      </c>
      <c r="AQ19" s="118">
        <f t="shared" si="16"/>
        <v>0</v>
      </c>
      <c r="AR19" s="119">
        <f t="shared" si="17"/>
        <v>425.55555555555554</v>
      </c>
      <c r="AS19" s="184"/>
      <c r="AZ19" s="120">
        <f t="shared" si="31"/>
        <v>6.5</v>
      </c>
      <c r="BA19" s="120">
        <f t="shared" si="18"/>
        <v>1.3682432432432432</v>
      </c>
      <c r="BB19" s="120">
        <f t="shared" si="32"/>
        <v>1.4000000000000001</v>
      </c>
      <c r="BC19" s="121">
        <f t="shared" si="19"/>
        <v>2</v>
      </c>
      <c r="BD19" s="121">
        <f t="shared" si="20"/>
        <v>2</v>
      </c>
      <c r="BE19" s="120">
        <f t="shared" si="33"/>
        <v>3</v>
      </c>
      <c r="BF19" s="120">
        <f t="shared" si="21"/>
        <v>2.8777777777777778</v>
      </c>
      <c r="BG19" s="120">
        <f t="shared" si="22"/>
        <v>74</v>
      </c>
      <c r="BH19" s="120" t="e">
        <f t="shared" si="23"/>
        <v>#DIV/0!</v>
      </c>
      <c r="BI19" s="122">
        <f t="shared" si="24"/>
        <v>4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 t="s">
        <v>2625</v>
      </c>
      <c r="C20" s="155" t="s">
        <v>122</v>
      </c>
      <c r="D20" s="112"/>
      <c r="E20" s="113">
        <v>1</v>
      </c>
      <c r="F20" s="113" t="s">
        <v>144</v>
      </c>
      <c r="G20" s="111">
        <v>34</v>
      </c>
      <c r="H20" s="114">
        <v>3.5</v>
      </c>
      <c r="I20" s="111">
        <v>57.5</v>
      </c>
      <c r="J20" s="245" t="str">
        <f t="shared" si="25"/>
        <v>dead</v>
      </c>
      <c r="K20" s="245">
        <f>+G20</f>
        <v>34</v>
      </c>
      <c r="L20" s="246" t="str">
        <f>IF(F20&gt;"r",0,IF(G20&gt;0,"+",0))</f>
        <v>+</v>
      </c>
      <c r="M20" s="247">
        <f t="shared" si="0"/>
        <v>6.5</v>
      </c>
      <c r="N20" s="248" t="str">
        <f>IF(G20&gt;0,"x",0)</f>
        <v>x</v>
      </c>
      <c r="O20" s="249">
        <f>+I20</f>
        <v>57.5</v>
      </c>
      <c r="P20" s="250">
        <f t="shared" si="2"/>
        <v>74</v>
      </c>
      <c r="Q20" s="354">
        <f t="shared" si="29"/>
        <v>1.4000000000000001</v>
      </c>
      <c r="R20" s="250">
        <f t="shared" si="3"/>
        <v>62</v>
      </c>
      <c r="S20" s="355">
        <f t="shared" si="30"/>
        <v>1.6</v>
      </c>
      <c r="T20" s="113">
        <v>0</v>
      </c>
      <c r="U20" s="244">
        <f>+D20+E20</f>
        <v>1</v>
      </c>
      <c r="V20" s="221" t="s">
        <v>2615</v>
      </c>
      <c r="W20" s="221" t="s">
        <v>2499</v>
      </c>
      <c r="X20" s="222" t="s">
        <v>159</v>
      </c>
      <c r="Y20" s="57"/>
      <c r="Z20" s="57"/>
      <c r="AA20" s="362">
        <f t="shared" si="5"/>
        <v>1.4</v>
      </c>
      <c r="AB20" s="357">
        <f t="shared" si="6"/>
        <v>2</v>
      </c>
      <c r="AC20" s="358">
        <f t="shared" si="7"/>
        <v>3</v>
      </c>
      <c r="AD20" s="359">
        <f t="shared" si="8"/>
        <v>2</v>
      </c>
      <c r="AE20" s="368">
        <f t="shared" si="9"/>
        <v>3.75</v>
      </c>
      <c r="AF20" s="57" t="s">
        <v>33</v>
      </c>
      <c r="AG20" s="116">
        <f t="shared" si="10"/>
        <v>13.576388888888889</v>
      </c>
      <c r="AH20" s="113">
        <v>45</v>
      </c>
      <c r="AI20" s="113">
        <v>15</v>
      </c>
      <c r="AJ20" s="113">
        <v>35</v>
      </c>
      <c r="AK20" s="117"/>
      <c r="AL20" s="259">
        <f t="shared" si="11"/>
        <v>180</v>
      </c>
      <c r="AM20" s="118" t="str">
        <f t="shared" si="12"/>
        <v xml:space="preserve"> </v>
      </c>
      <c r="AN20" s="260">
        <f t="shared" si="13"/>
        <v>35</v>
      </c>
      <c r="AO20" s="118">
        <f t="shared" si="14"/>
        <v>135</v>
      </c>
      <c r="AP20" s="118">
        <f t="shared" si="15"/>
        <v>56.25</v>
      </c>
      <c r="AQ20" s="118">
        <f t="shared" si="16"/>
        <v>0</v>
      </c>
      <c r="AR20" s="119">
        <f t="shared" si="17"/>
        <v>406.25</v>
      </c>
      <c r="AS20" s="184"/>
      <c r="AZ20" s="120">
        <f t="shared" si="31"/>
        <v>6.5</v>
      </c>
      <c r="BA20" s="120">
        <f t="shared" si="18"/>
        <v>1.3682432432432432</v>
      </c>
      <c r="BB20" s="120">
        <f t="shared" si="32"/>
        <v>1.4000000000000001</v>
      </c>
      <c r="BC20" s="121">
        <f t="shared" si="19"/>
        <v>2</v>
      </c>
      <c r="BD20" s="121">
        <f t="shared" si="20"/>
        <v>2</v>
      </c>
      <c r="BE20" s="120">
        <f t="shared" si="33"/>
        <v>3</v>
      </c>
      <c r="BF20" s="120">
        <f t="shared" si="21"/>
        <v>2.8583333333333329</v>
      </c>
      <c r="BG20" s="120">
        <f t="shared" si="22"/>
        <v>73.5</v>
      </c>
      <c r="BH20" s="120" t="e">
        <f t="shared" si="23"/>
        <v>#DIV/0!</v>
      </c>
      <c r="BI20" s="122">
        <f t="shared" si="24"/>
        <v>4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 t="s">
        <v>2627</v>
      </c>
      <c r="C21" s="155" t="s">
        <v>122</v>
      </c>
      <c r="D21" s="112"/>
      <c r="E21" s="113">
        <v>1</v>
      </c>
      <c r="F21" s="113" t="s">
        <v>144</v>
      </c>
      <c r="G21" s="111">
        <v>34</v>
      </c>
      <c r="H21" s="114">
        <v>3.5</v>
      </c>
      <c r="I21" s="111">
        <v>57.5</v>
      </c>
      <c r="J21" s="245" t="str">
        <f t="shared" si="25"/>
        <v>dead</v>
      </c>
      <c r="K21" s="245">
        <f t="shared" si="26"/>
        <v>34</v>
      </c>
      <c r="L21" s="246" t="str">
        <f t="shared" si="27"/>
        <v>+</v>
      </c>
      <c r="M21" s="247">
        <f t="shared" si="0"/>
        <v>6.5</v>
      </c>
      <c r="N21" s="248" t="str">
        <f t="shared" si="28"/>
        <v>x</v>
      </c>
      <c r="O21" s="249">
        <f t="shared" si="1"/>
        <v>57.5</v>
      </c>
      <c r="P21" s="250">
        <f t="shared" si="2"/>
        <v>74</v>
      </c>
      <c r="Q21" s="354">
        <f t="shared" si="29"/>
        <v>1.4000000000000001</v>
      </c>
      <c r="R21" s="250">
        <f t="shared" si="3"/>
        <v>62</v>
      </c>
      <c r="S21" s="355">
        <f t="shared" si="30"/>
        <v>1.6</v>
      </c>
      <c r="T21" s="113">
        <v>0</v>
      </c>
      <c r="U21" s="244">
        <f t="shared" si="4"/>
        <v>1</v>
      </c>
      <c r="V21" s="221" t="s">
        <v>2615</v>
      </c>
      <c r="W21" s="221" t="s">
        <v>2499</v>
      </c>
      <c r="X21" s="222" t="s">
        <v>159</v>
      </c>
      <c r="Y21" s="57"/>
      <c r="Z21" s="57"/>
      <c r="AA21" s="362">
        <f t="shared" si="5"/>
        <v>1.4</v>
      </c>
      <c r="AB21" s="357">
        <f t="shared" si="6"/>
        <v>2</v>
      </c>
      <c r="AC21" s="358">
        <f t="shared" si="7"/>
        <v>3</v>
      </c>
      <c r="AD21" s="359">
        <f t="shared" si="8"/>
        <v>2</v>
      </c>
      <c r="AE21" s="368">
        <f t="shared" si="9"/>
        <v>3.75</v>
      </c>
      <c r="AF21" s="57" t="s">
        <v>34</v>
      </c>
      <c r="AG21" s="116">
        <f t="shared" si="10"/>
        <v>13.576388888888889</v>
      </c>
      <c r="AH21" s="113">
        <v>45</v>
      </c>
      <c r="AI21" s="113">
        <v>15</v>
      </c>
      <c r="AJ21" s="113">
        <v>35</v>
      </c>
      <c r="AK21" s="117"/>
      <c r="AL21" s="259">
        <f t="shared" si="11"/>
        <v>180</v>
      </c>
      <c r="AM21" s="118" t="str">
        <f t="shared" si="12"/>
        <v xml:space="preserve"> </v>
      </c>
      <c r="AN21" s="260">
        <f t="shared" si="13"/>
        <v>35</v>
      </c>
      <c r="AO21" s="118">
        <f t="shared" si="14"/>
        <v>135</v>
      </c>
      <c r="AP21" s="118">
        <f t="shared" si="15"/>
        <v>56.25</v>
      </c>
      <c r="AQ21" s="118">
        <f t="shared" si="16"/>
        <v>0</v>
      </c>
      <c r="AR21" s="119">
        <f t="shared" si="17"/>
        <v>406.25</v>
      </c>
      <c r="AS21" s="184"/>
      <c r="AZ21" s="120">
        <f t="shared" si="31"/>
        <v>6.5</v>
      </c>
      <c r="BA21" s="120">
        <f t="shared" si="18"/>
        <v>1.3682432432432432</v>
      </c>
      <c r="BB21" s="120">
        <f t="shared" si="32"/>
        <v>1.4000000000000001</v>
      </c>
      <c r="BC21" s="121">
        <f t="shared" si="19"/>
        <v>2</v>
      </c>
      <c r="BD21" s="121">
        <f t="shared" si="20"/>
        <v>2</v>
      </c>
      <c r="BE21" s="120">
        <f t="shared" si="33"/>
        <v>3</v>
      </c>
      <c r="BF21" s="120">
        <f t="shared" si="21"/>
        <v>2.8583333333333329</v>
      </c>
      <c r="BG21" s="120">
        <f t="shared" si="22"/>
        <v>73.5</v>
      </c>
      <c r="BH21" s="120" t="e">
        <f t="shared" si="23"/>
        <v>#DIV/0!</v>
      </c>
      <c r="BI21" s="122">
        <f t="shared" si="24"/>
        <v>4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 t="s">
        <v>2629</v>
      </c>
      <c r="C22" s="155" t="s">
        <v>122</v>
      </c>
      <c r="D22" s="112"/>
      <c r="E22" s="113">
        <v>1</v>
      </c>
      <c r="F22" s="113" t="s">
        <v>144</v>
      </c>
      <c r="G22" s="111">
        <v>34</v>
      </c>
      <c r="H22" s="114">
        <v>3.5</v>
      </c>
      <c r="I22" s="111">
        <v>58</v>
      </c>
      <c r="J22" s="245" t="str">
        <f t="shared" si="25"/>
        <v>dead</v>
      </c>
      <c r="K22" s="245">
        <f t="shared" si="26"/>
        <v>34</v>
      </c>
      <c r="L22" s="246" t="str">
        <f t="shared" si="27"/>
        <v>+</v>
      </c>
      <c r="M22" s="247">
        <f t="shared" si="0"/>
        <v>6.5</v>
      </c>
      <c r="N22" s="248" t="str">
        <f t="shared" si="28"/>
        <v>x</v>
      </c>
      <c r="O22" s="249">
        <f t="shared" si="1"/>
        <v>58</v>
      </c>
      <c r="P22" s="250">
        <f t="shared" si="2"/>
        <v>74</v>
      </c>
      <c r="Q22" s="354">
        <f t="shared" si="29"/>
        <v>1.4000000000000001</v>
      </c>
      <c r="R22" s="250">
        <f t="shared" si="3"/>
        <v>62</v>
      </c>
      <c r="S22" s="355">
        <f t="shared" si="30"/>
        <v>1.6</v>
      </c>
      <c r="T22" s="113">
        <v>0</v>
      </c>
      <c r="U22" s="244">
        <f t="shared" si="4"/>
        <v>1</v>
      </c>
      <c r="V22" s="221" t="s">
        <v>2615</v>
      </c>
      <c r="W22" s="221" t="s">
        <v>2499</v>
      </c>
      <c r="X22" s="222" t="s">
        <v>159</v>
      </c>
      <c r="Y22" s="57"/>
      <c r="Z22" s="57"/>
      <c r="AA22" s="362">
        <f t="shared" si="5"/>
        <v>1.4</v>
      </c>
      <c r="AB22" s="357">
        <f t="shared" si="6"/>
        <v>2</v>
      </c>
      <c r="AC22" s="358">
        <f t="shared" si="7"/>
        <v>3</v>
      </c>
      <c r="AD22" s="359">
        <f t="shared" si="8"/>
        <v>2</v>
      </c>
      <c r="AE22" s="368">
        <f t="shared" si="9"/>
        <v>3.7777777777777777</v>
      </c>
      <c r="AF22" s="57" t="s">
        <v>35</v>
      </c>
      <c r="AG22" s="116">
        <f t="shared" si="10"/>
        <v>13.694444444444445</v>
      </c>
      <c r="AH22" s="113">
        <v>45</v>
      </c>
      <c r="AI22" s="113">
        <v>15</v>
      </c>
      <c r="AJ22" s="113">
        <v>35</v>
      </c>
      <c r="AK22" s="117"/>
      <c r="AL22" s="259">
        <f t="shared" si="11"/>
        <v>180</v>
      </c>
      <c r="AM22" s="118" t="str">
        <f t="shared" si="12"/>
        <v xml:space="preserve"> </v>
      </c>
      <c r="AN22" s="260">
        <f t="shared" si="13"/>
        <v>35</v>
      </c>
      <c r="AO22" s="118">
        <f t="shared" si="14"/>
        <v>135</v>
      </c>
      <c r="AP22" s="118">
        <f t="shared" si="15"/>
        <v>56.666666666666664</v>
      </c>
      <c r="AQ22" s="118">
        <f t="shared" si="16"/>
        <v>0</v>
      </c>
      <c r="AR22" s="119">
        <f t="shared" si="17"/>
        <v>406.66666666666669</v>
      </c>
      <c r="AS22" s="184"/>
      <c r="AZ22" s="120">
        <f t="shared" si="31"/>
        <v>6.5</v>
      </c>
      <c r="BA22" s="120">
        <f t="shared" si="18"/>
        <v>1.3682432432432432</v>
      </c>
      <c r="BB22" s="120">
        <f t="shared" si="32"/>
        <v>1.4000000000000001</v>
      </c>
      <c r="BC22" s="121">
        <f t="shared" si="19"/>
        <v>2</v>
      </c>
      <c r="BD22" s="121">
        <f t="shared" si="20"/>
        <v>2</v>
      </c>
      <c r="BE22" s="120">
        <f t="shared" si="33"/>
        <v>3</v>
      </c>
      <c r="BF22" s="120">
        <f t="shared" si="21"/>
        <v>2.8777777777777778</v>
      </c>
      <c r="BG22" s="120">
        <f t="shared" si="22"/>
        <v>74</v>
      </c>
      <c r="BH22" s="120" t="e">
        <f t="shared" si="23"/>
        <v>#DIV/0!</v>
      </c>
      <c r="BI22" s="122">
        <f t="shared" si="24"/>
        <v>4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170" t="s">
        <v>2629</v>
      </c>
      <c r="C23" s="155" t="s">
        <v>122</v>
      </c>
      <c r="D23" s="112"/>
      <c r="E23" s="113">
        <v>1</v>
      </c>
      <c r="F23" s="113" t="s">
        <v>144</v>
      </c>
      <c r="G23" s="111">
        <v>34</v>
      </c>
      <c r="H23" s="114">
        <v>3.5</v>
      </c>
      <c r="I23" s="111">
        <v>58</v>
      </c>
      <c r="J23" s="245" t="str">
        <f t="shared" si="25"/>
        <v>dead</v>
      </c>
      <c r="K23" s="245">
        <f t="shared" si="26"/>
        <v>34</v>
      </c>
      <c r="L23" s="246" t="str">
        <f t="shared" si="27"/>
        <v>+</v>
      </c>
      <c r="M23" s="247">
        <f t="shared" si="0"/>
        <v>6.5</v>
      </c>
      <c r="N23" s="248" t="str">
        <f t="shared" si="28"/>
        <v>x</v>
      </c>
      <c r="O23" s="249">
        <f t="shared" si="1"/>
        <v>58</v>
      </c>
      <c r="P23" s="250">
        <f t="shared" si="2"/>
        <v>74</v>
      </c>
      <c r="Q23" s="354">
        <f t="shared" si="29"/>
        <v>1.4000000000000001</v>
      </c>
      <c r="R23" s="250">
        <f t="shared" si="3"/>
        <v>62</v>
      </c>
      <c r="S23" s="355">
        <f t="shared" si="30"/>
        <v>1.6</v>
      </c>
      <c r="T23" s="113">
        <v>0</v>
      </c>
      <c r="U23" s="244">
        <f t="shared" si="4"/>
        <v>1</v>
      </c>
      <c r="V23" s="221" t="s">
        <v>2615</v>
      </c>
      <c r="W23" s="221" t="s">
        <v>2499</v>
      </c>
      <c r="X23" s="222" t="s">
        <v>159</v>
      </c>
      <c r="Y23" s="57"/>
      <c r="Z23" s="57"/>
      <c r="AA23" s="362">
        <f t="shared" si="5"/>
        <v>1.4</v>
      </c>
      <c r="AB23" s="357">
        <f t="shared" si="6"/>
        <v>2</v>
      </c>
      <c r="AC23" s="358">
        <f t="shared" si="7"/>
        <v>3</v>
      </c>
      <c r="AD23" s="359">
        <f t="shared" si="8"/>
        <v>2</v>
      </c>
      <c r="AE23" s="368">
        <f t="shared" si="9"/>
        <v>3.7777777777777777</v>
      </c>
      <c r="AF23" s="57" t="s">
        <v>36</v>
      </c>
      <c r="AG23" s="116">
        <f t="shared" si="10"/>
        <v>13.694444444444445</v>
      </c>
      <c r="AH23" s="113">
        <v>45</v>
      </c>
      <c r="AI23" s="113">
        <v>15</v>
      </c>
      <c r="AJ23" s="113">
        <v>35</v>
      </c>
      <c r="AK23" s="117"/>
      <c r="AL23" s="259">
        <f t="shared" si="11"/>
        <v>180</v>
      </c>
      <c r="AM23" s="118" t="str">
        <f t="shared" si="12"/>
        <v xml:space="preserve"> </v>
      </c>
      <c r="AN23" s="260">
        <f t="shared" si="13"/>
        <v>35</v>
      </c>
      <c r="AO23" s="118">
        <f t="shared" si="14"/>
        <v>135</v>
      </c>
      <c r="AP23" s="118">
        <f t="shared" si="15"/>
        <v>56.666666666666664</v>
      </c>
      <c r="AQ23" s="118">
        <f t="shared" si="16"/>
        <v>0</v>
      </c>
      <c r="AR23" s="119">
        <f t="shared" si="17"/>
        <v>406.66666666666669</v>
      </c>
      <c r="AS23" s="184"/>
      <c r="AZ23" s="120">
        <f t="shared" si="31"/>
        <v>6.5</v>
      </c>
      <c r="BA23" s="120">
        <f t="shared" si="18"/>
        <v>1.3682432432432432</v>
      </c>
      <c r="BB23" s="120">
        <f t="shared" si="32"/>
        <v>1.4000000000000001</v>
      </c>
      <c r="BC23" s="121">
        <f t="shared" si="19"/>
        <v>2</v>
      </c>
      <c r="BD23" s="121">
        <f t="shared" si="20"/>
        <v>2</v>
      </c>
      <c r="BE23" s="120">
        <f t="shared" si="33"/>
        <v>3</v>
      </c>
      <c r="BF23" s="120">
        <f t="shared" si="21"/>
        <v>2.8777777777777778</v>
      </c>
      <c r="BG23" s="120">
        <f t="shared" si="22"/>
        <v>74</v>
      </c>
      <c r="BH23" s="120" t="e">
        <f t="shared" si="23"/>
        <v>#DIV/0!</v>
      </c>
      <c r="BI23" s="122">
        <f t="shared" si="24"/>
        <v>4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 t="s">
        <v>2629</v>
      </c>
      <c r="C24" s="155" t="s">
        <v>122</v>
      </c>
      <c r="D24" s="112"/>
      <c r="E24" s="113">
        <v>1</v>
      </c>
      <c r="F24" s="113" t="s">
        <v>144</v>
      </c>
      <c r="G24" s="111">
        <v>34</v>
      </c>
      <c r="H24" s="114">
        <v>3.5</v>
      </c>
      <c r="I24" s="111">
        <v>58</v>
      </c>
      <c r="J24" s="245" t="str">
        <f t="shared" si="25"/>
        <v>dead</v>
      </c>
      <c r="K24" s="245">
        <f t="shared" si="26"/>
        <v>34</v>
      </c>
      <c r="L24" s="246" t="str">
        <f t="shared" si="27"/>
        <v>+</v>
      </c>
      <c r="M24" s="247">
        <f t="shared" si="0"/>
        <v>6.5</v>
      </c>
      <c r="N24" s="248" t="str">
        <f t="shared" si="28"/>
        <v>x</v>
      </c>
      <c r="O24" s="249">
        <f t="shared" si="1"/>
        <v>58</v>
      </c>
      <c r="P24" s="250">
        <f t="shared" si="2"/>
        <v>74</v>
      </c>
      <c r="Q24" s="354">
        <f t="shared" si="29"/>
        <v>1.4000000000000001</v>
      </c>
      <c r="R24" s="250">
        <f t="shared" si="3"/>
        <v>62</v>
      </c>
      <c r="S24" s="355">
        <f t="shared" si="30"/>
        <v>1.6</v>
      </c>
      <c r="T24" s="113">
        <v>0</v>
      </c>
      <c r="U24" s="244">
        <f t="shared" si="4"/>
        <v>1</v>
      </c>
      <c r="V24" s="221" t="s">
        <v>2615</v>
      </c>
      <c r="W24" s="221" t="s">
        <v>2499</v>
      </c>
      <c r="X24" s="222" t="s">
        <v>159</v>
      </c>
      <c r="Y24" s="57"/>
      <c r="Z24" s="57"/>
      <c r="AA24" s="362">
        <f t="shared" si="5"/>
        <v>1.4</v>
      </c>
      <c r="AB24" s="357">
        <f t="shared" si="6"/>
        <v>2</v>
      </c>
      <c r="AC24" s="358">
        <f t="shared" si="7"/>
        <v>3</v>
      </c>
      <c r="AD24" s="359">
        <f t="shared" si="8"/>
        <v>2</v>
      </c>
      <c r="AE24" s="368">
        <f t="shared" si="9"/>
        <v>3.7777777777777777</v>
      </c>
      <c r="AF24" s="57" t="s">
        <v>37</v>
      </c>
      <c r="AG24" s="116">
        <f t="shared" si="10"/>
        <v>13.694444444444445</v>
      </c>
      <c r="AH24" s="113">
        <v>45</v>
      </c>
      <c r="AI24" s="113">
        <v>15</v>
      </c>
      <c r="AJ24" s="113">
        <v>35</v>
      </c>
      <c r="AK24" s="117"/>
      <c r="AL24" s="259">
        <f t="shared" si="11"/>
        <v>180</v>
      </c>
      <c r="AM24" s="118" t="str">
        <f t="shared" si="12"/>
        <v xml:space="preserve"> </v>
      </c>
      <c r="AN24" s="260">
        <f t="shared" si="13"/>
        <v>35</v>
      </c>
      <c r="AO24" s="118">
        <f t="shared" si="14"/>
        <v>135</v>
      </c>
      <c r="AP24" s="118">
        <f t="shared" si="15"/>
        <v>56.666666666666664</v>
      </c>
      <c r="AQ24" s="118">
        <f t="shared" si="16"/>
        <v>0</v>
      </c>
      <c r="AR24" s="119">
        <f t="shared" si="17"/>
        <v>406.66666666666669</v>
      </c>
      <c r="AS24" s="184"/>
      <c r="AZ24" s="120">
        <f t="shared" si="31"/>
        <v>6.5</v>
      </c>
      <c r="BA24" s="120">
        <f t="shared" si="18"/>
        <v>1.3682432432432432</v>
      </c>
      <c r="BB24" s="120">
        <f t="shared" si="32"/>
        <v>1.4000000000000001</v>
      </c>
      <c r="BC24" s="121">
        <f t="shared" si="19"/>
        <v>2</v>
      </c>
      <c r="BD24" s="121">
        <f t="shared" si="20"/>
        <v>2</v>
      </c>
      <c r="BE24" s="120">
        <f t="shared" si="33"/>
        <v>3</v>
      </c>
      <c r="BF24" s="120">
        <f t="shared" si="21"/>
        <v>2.8777777777777778</v>
      </c>
      <c r="BG24" s="120">
        <f t="shared" si="22"/>
        <v>74</v>
      </c>
      <c r="BH24" s="120" t="e">
        <f t="shared" si="23"/>
        <v>#DIV/0!</v>
      </c>
      <c r="BI24" s="122">
        <f t="shared" si="24"/>
        <v>4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 t="s">
        <v>2629</v>
      </c>
      <c r="C25" s="155" t="s">
        <v>122</v>
      </c>
      <c r="D25" s="112"/>
      <c r="E25" s="113">
        <v>1</v>
      </c>
      <c r="F25" s="113" t="s">
        <v>144</v>
      </c>
      <c r="G25" s="111">
        <v>34</v>
      </c>
      <c r="H25" s="114">
        <v>3.5</v>
      </c>
      <c r="I25" s="111">
        <v>58</v>
      </c>
      <c r="J25" s="245" t="str">
        <f t="shared" si="25"/>
        <v>dead</v>
      </c>
      <c r="K25" s="245">
        <f t="shared" si="26"/>
        <v>34</v>
      </c>
      <c r="L25" s="246" t="str">
        <f t="shared" si="27"/>
        <v>+</v>
      </c>
      <c r="M25" s="247">
        <f t="shared" si="0"/>
        <v>6.5</v>
      </c>
      <c r="N25" s="248" t="str">
        <f t="shared" si="28"/>
        <v>x</v>
      </c>
      <c r="O25" s="249">
        <f t="shared" si="1"/>
        <v>58</v>
      </c>
      <c r="P25" s="250">
        <f t="shared" si="2"/>
        <v>74</v>
      </c>
      <c r="Q25" s="354">
        <f t="shared" si="29"/>
        <v>1.4000000000000001</v>
      </c>
      <c r="R25" s="250">
        <f t="shared" si="3"/>
        <v>62</v>
      </c>
      <c r="S25" s="355">
        <f t="shared" si="30"/>
        <v>1.6</v>
      </c>
      <c r="T25" s="113">
        <v>0</v>
      </c>
      <c r="U25" s="244">
        <f t="shared" si="4"/>
        <v>1</v>
      </c>
      <c r="V25" s="221" t="s">
        <v>2615</v>
      </c>
      <c r="W25" s="221" t="s">
        <v>2499</v>
      </c>
      <c r="X25" s="222" t="s">
        <v>159</v>
      </c>
      <c r="Y25" s="57"/>
      <c r="Z25" s="57"/>
      <c r="AA25" s="362">
        <f t="shared" si="5"/>
        <v>1.4</v>
      </c>
      <c r="AB25" s="357">
        <f t="shared" si="6"/>
        <v>2</v>
      </c>
      <c r="AC25" s="358">
        <f t="shared" si="7"/>
        <v>3</v>
      </c>
      <c r="AD25" s="359">
        <f t="shared" si="8"/>
        <v>2</v>
      </c>
      <c r="AE25" s="368">
        <f t="shared" si="9"/>
        <v>3.7777777777777777</v>
      </c>
      <c r="AF25" s="57" t="s">
        <v>43</v>
      </c>
      <c r="AG25" s="116">
        <f t="shared" si="10"/>
        <v>13.694444444444445</v>
      </c>
      <c r="AH25" s="113">
        <v>45</v>
      </c>
      <c r="AI25" s="113">
        <v>15</v>
      </c>
      <c r="AJ25" s="113">
        <v>35</v>
      </c>
      <c r="AK25" s="117"/>
      <c r="AL25" s="259">
        <f t="shared" si="11"/>
        <v>180</v>
      </c>
      <c r="AM25" s="118" t="str">
        <f t="shared" si="12"/>
        <v xml:space="preserve"> </v>
      </c>
      <c r="AN25" s="260">
        <f t="shared" si="13"/>
        <v>35</v>
      </c>
      <c r="AO25" s="118">
        <f t="shared" si="14"/>
        <v>135</v>
      </c>
      <c r="AP25" s="118">
        <f t="shared" si="15"/>
        <v>56.666666666666664</v>
      </c>
      <c r="AQ25" s="118">
        <f t="shared" si="16"/>
        <v>0</v>
      </c>
      <c r="AR25" s="119">
        <f t="shared" si="17"/>
        <v>406.66666666666669</v>
      </c>
      <c r="AS25" s="184"/>
      <c r="AZ25" s="120">
        <f t="shared" si="31"/>
        <v>6.5</v>
      </c>
      <c r="BA25" s="120">
        <f t="shared" si="18"/>
        <v>1.3682432432432432</v>
      </c>
      <c r="BB25" s="120">
        <f t="shared" si="32"/>
        <v>1.4000000000000001</v>
      </c>
      <c r="BC25" s="121">
        <f t="shared" si="19"/>
        <v>2</v>
      </c>
      <c r="BD25" s="121">
        <f t="shared" si="20"/>
        <v>2</v>
      </c>
      <c r="BE25" s="120">
        <f t="shared" si="33"/>
        <v>3</v>
      </c>
      <c r="BF25" s="120">
        <f t="shared" si="21"/>
        <v>2.8777777777777778</v>
      </c>
      <c r="BG25" s="120">
        <f t="shared" si="22"/>
        <v>74</v>
      </c>
      <c r="BH25" s="120" t="e">
        <f t="shared" si="23"/>
        <v>#DIV/0!</v>
      </c>
      <c r="BI25" s="122">
        <f t="shared" si="24"/>
        <v>4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 t="s">
        <v>2630</v>
      </c>
      <c r="C26" s="155" t="s">
        <v>122</v>
      </c>
      <c r="D26" s="112"/>
      <c r="E26" s="113">
        <v>1</v>
      </c>
      <c r="F26" s="113" t="s">
        <v>144</v>
      </c>
      <c r="G26" s="111">
        <v>34</v>
      </c>
      <c r="H26" s="114">
        <v>3.5</v>
      </c>
      <c r="I26" s="111">
        <v>58</v>
      </c>
      <c r="J26" s="245" t="str">
        <f t="shared" si="25"/>
        <v>dead</v>
      </c>
      <c r="K26" s="245">
        <f t="shared" si="26"/>
        <v>34</v>
      </c>
      <c r="L26" s="246" t="str">
        <f t="shared" si="27"/>
        <v>+</v>
      </c>
      <c r="M26" s="247">
        <f t="shared" si="0"/>
        <v>6.5</v>
      </c>
      <c r="N26" s="248" t="str">
        <f t="shared" si="28"/>
        <v>x</v>
      </c>
      <c r="O26" s="249">
        <f t="shared" si="1"/>
        <v>58</v>
      </c>
      <c r="P26" s="250">
        <f t="shared" si="2"/>
        <v>74</v>
      </c>
      <c r="Q26" s="354">
        <f t="shared" si="29"/>
        <v>1.4000000000000001</v>
      </c>
      <c r="R26" s="250">
        <f t="shared" si="3"/>
        <v>60</v>
      </c>
      <c r="S26" s="355">
        <f t="shared" si="30"/>
        <v>1.6</v>
      </c>
      <c r="T26" s="113">
        <v>0</v>
      </c>
      <c r="U26" s="244">
        <f t="shared" si="4"/>
        <v>1</v>
      </c>
      <c r="V26" s="221" t="s">
        <v>2615</v>
      </c>
      <c r="W26" s="221" t="s">
        <v>2499</v>
      </c>
      <c r="X26" s="222" t="s">
        <v>158</v>
      </c>
      <c r="Y26" s="57"/>
      <c r="Z26" s="57"/>
      <c r="AA26" s="362">
        <f t="shared" si="5"/>
        <v>1.4</v>
      </c>
      <c r="AB26" s="357">
        <f t="shared" si="6"/>
        <v>2</v>
      </c>
      <c r="AC26" s="358">
        <f t="shared" si="7"/>
        <v>3</v>
      </c>
      <c r="AD26" s="359">
        <f t="shared" si="8"/>
        <v>2</v>
      </c>
      <c r="AE26" s="368">
        <f t="shared" si="9"/>
        <v>3.7777777777777777</v>
      </c>
      <c r="AF26" s="57" t="s">
        <v>44</v>
      </c>
      <c r="AG26" s="116">
        <f t="shared" si="10"/>
        <v>13.694444444444445</v>
      </c>
      <c r="AH26" s="113">
        <v>45</v>
      </c>
      <c r="AI26" s="113">
        <v>20</v>
      </c>
      <c r="AJ26" s="113">
        <v>35</v>
      </c>
      <c r="AK26" s="117"/>
      <c r="AL26" s="259">
        <f t="shared" si="11"/>
        <v>180</v>
      </c>
      <c r="AM26" s="118" t="str">
        <f t="shared" si="12"/>
        <v xml:space="preserve"> </v>
      </c>
      <c r="AN26" s="260">
        <f t="shared" si="13"/>
        <v>35</v>
      </c>
      <c r="AO26" s="118">
        <f t="shared" si="14"/>
        <v>135</v>
      </c>
      <c r="AP26" s="118">
        <f t="shared" si="15"/>
        <v>75.555555555555557</v>
      </c>
      <c r="AQ26" s="118">
        <f t="shared" si="16"/>
        <v>0</v>
      </c>
      <c r="AR26" s="119">
        <f t="shared" si="17"/>
        <v>425.55555555555554</v>
      </c>
      <c r="AS26" s="184"/>
      <c r="AZ26" s="120">
        <f t="shared" si="31"/>
        <v>6.5</v>
      </c>
      <c r="BA26" s="120">
        <f t="shared" si="18"/>
        <v>1.3682432432432432</v>
      </c>
      <c r="BB26" s="120">
        <f t="shared" si="32"/>
        <v>1.4000000000000001</v>
      </c>
      <c r="BC26" s="121">
        <f t="shared" si="19"/>
        <v>2</v>
      </c>
      <c r="BD26" s="121">
        <f t="shared" si="20"/>
        <v>2</v>
      </c>
      <c r="BE26" s="120">
        <f t="shared" si="33"/>
        <v>3</v>
      </c>
      <c r="BF26" s="120">
        <f t="shared" si="21"/>
        <v>2.8777777777777778</v>
      </c>
      <c r="BG26" s="120">
        <f t="shared" si="22"/>
        <v>74</v>
      </c>
      <c r="BH26" s="120" t="e">
        <f t="shared" si="23"/>
        <v>#DIV/0!</v>
      </c>
      <c r="BI26" s="122">
        <f t="shared" si="24"/>
        <v>4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 t="s">
        <v>2628</v>
      </c>
      <c r="C27" s="155" t="s">
        <v>122</v>
      </c>
      <c r="D27" s="112"/>
      <c r="E27" s="113">
        <v>1</v>
      </c>
      <c r="F27" s="113" t="s">
        <v>144</v>
      </c>
      <c r="G27" s="111">
        <v>34</v>
      </c>
      <c r="H27" s="114">
        <v>3.5</v>
      </c>
      <c r="I27" s="111">
        <v>57.5</v>
      </c>
      <c r="J27" s="245" t="str">
        <f t="shared" si="25"/>
        <v>dead</v>
      </c>
      <c r="K27" s="245">
        <f t="shared" si="26"/>
        <v>34</v>
      </c>
      <c r="L27" s="246" t="str">
        <f t="shared" si="27"/>
        <v>+</v>
      </c>
      <c r="M27" s="247">
        <f t="shared" si="0"/>
        <v>6.5</v>
      </c>
      <c r="N27" s="248" t="str">
        <f t="shared" si="28"/>
        <v>x</v>
      </c>
      <c r="O27" s="249">
        <f t="shared" si="1"/>
        <v>57.5</v>
      </c>
      <c r="P27" s="250">
        <f t="shared" si="2"/>
        <v>74</v>
      </c>
      <c r="Q27" s="354">
        <f t="shared" si="29"/>
        <v>1.4000000000000001</v>
      </c>
      <c r="R27" s="250">
        <f t="shared" si="3"/>
        <v>62</v>
      </c>
      <c r="S27" s="355">
        <f t="shared" si="30"/>
        <v>1.6</v>
      </c>
      <c r="T27" s="113">
        <v>0</v>
      </c>
      <c r="U27" s="244">
        <f t="shared" si="4"/>
        <v>1</v>
      </c>
      <c r="V27" s="221" t="s">
        <v>2615</v>
      </c>
      <c r="W27" s="221" t="s">
        <v>2499</v>
      </c>
      <c r="X27" s="222" t="s">
        <v>159</v>
      </c>
      <c r="Y27" s="57"/>
      <c r="Z27" s="57"/>
      <c r="AA27" s="362">
        <f t="shared" si="5"/>
        <v>1.4</v>
      </c>
      <c r="AB27" s="357">
        <f t="shared" si="6"/>
        <v>2</v>
      </c>
      <c r="AC27" s="358">
        <f t="shared" si="7"/>
        <v>3</v>
      </c>
      <c r="AD27" s="359">
        <f t="shared" si="8"/>
        <v>2</v>
      </c>
      <c r="AE27" s="368">
        <f t="shared" si="9"/>
        <v>3.75</v>
      </c>
      <c r="AF27" s="57" t="s">
        <v>45</v>
      </c>
      <c r="AG27" s="116">
        <f t="shared" si="10"/>
        <v>13.576388888888889</v>
      </c>
      <c r="AH27" s="113">
        <v>45</v>
      </c>
      <c r="AI27" s="113">
        <v>15</v>
      </c>
      <c r="AJ27" s="113">
        <v>35</v>
      </c>
      <c r="AK27" s="117"/>
      <c r="AL27" s="259">
        <f t="shared" si="11"/>
        <v>180</v>
      </c>
      <c r="AM27" s="118" t="str">
        <f t="shared" si="12"/>
        <v xml:space="preserve"> </v>
      </c>
      <c r="AN27" s="260">
        <f t="shared" si="13"/>
        <v>35</v>
      </c>
      <c r="AO27" s="118">
        <f t="shared" si="14"/>
        <v>135</v>
      </c>
      <c r="AP27" s="118">
        <f t="shared" si="15"/>
        <v>56.25</v>
      </c>
      <c r="AQ27" s="118">
        <f t="shared" si="16"/>
        <v>0</v>
      </c>
      <c r="AR27" s="119">
        <f t="shared" si="17"/>
        <v>406.25</v>
      </c>
      <c r="AS27" s="184"/>
      <c r="AZ27" s="120">
        <f t="shared" si="31"/>
        <v>6.5</v>
      </c>
      <c r="BA27" s="120">
        <f t="shared" si="18"/>
        <v>1.3682432432432432</v>
      </c>
      <c r="BB27" s="120">
        <f t="shared" si="32"/>
        <v>1.4000000000000001</v>
      </c>
      <c r="BC27" s="121">
        <f t="shared" si="19"/>
        <v>2</v>
      </c>
      <c r="BD27" s="121">
        <f t="shared" si="20"/>
        <v>2</v>
      </c>
      <c r="BE27" s="120">
        <f t="shared" si="33"/>
        <v>3</v>
      </c>
      <c r="BF27" s="120">
        <f t="shared" si="21"/>
        <v>2.8583333333333329</v>
      </c>
      <c r="BG27" s="120">
        <f t="shared" si="22"/>
        <v>73.5</v>
      </c>
      <c r="BH27" s="120" t="e">
        <f t="shared" si="23"/>
        <v>#DIV/0!</v>
      </c>
      <c r="BI27" s="122">
        <f t="shared" si="24"/>
        <v>4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 t="s">
        <v>2626</v>
      </c>
      <c r="C28" s="155" t="s">
        <v>122</v>
      </c>
      <c r="D28" s="112"/>
      <c r="E28" s="113">
        <v>1</v>
      </c>
      <c r="F28" s="113" t="s">
        <v>144</v>
      </c>
      <c r="G28" s="111">
        <v>34</v>
      </c>
      <c r="H28" s="114">
        <v>3.5</v>
      </c>
      <c r="I28" s="111">
        <v>58</v>
      </c>
      <c r="J28" s="245" t="str">
        <f t="shared" si="25"/>
        <v>dead</v>
      </c>
      <c r="K28" s="245">
        <f t="shared" si="26"/>
        <v>34</v>
      </c>
      <c r="L28" s="246" t="str">
        <f t="shared" si="27"/>
        <v>+</v>
      </c>
      <c r="M28" s="247">
        <f t="shared" si="0"/>
        <v>6.5</v>
      </c>
      <c r="N28" s="248" t="str">
        <f t="shared" si="28"/>
        <v>x</v>
      </c>
      <c r="O28" s="249">
        <f t="shared" si="1"/>
        <v>58</v>
      </c>
      <c r="P28" s="250">
        <f t="shared" si="2"/>
        <v>74</v>
      </c>
      <c r="Q28" s="354">
        <f t="shared" si="29"/>
        <v>1.4000000000000001</v>
      </c>
      <c r="R28" s="250">
        <f t="shared" si="3"/>
        <v>62</v>
      </c>
      <c r="S28" s="355">
        <f t="shared" si="30"/>
        <v>1.6</v>
      </c>
      <c r="T28" s="113">
        <v>0</v>
      </c>
      <c r="U28" s="244">
        <f t="shared" si="4"/>
        <v>1</v>
      </c>
      <c r="V28" s="221" t="s">
        <v>2615</v>
      </c>
      <c r="W28" s="221" t="s">
        <v>2499</v>
      </c>
      <c r="X28" s="222" t="s">
        <v>159</v>
      </c>
      <c r="Y28" s="57"/>
      <c r="Z28" s="57"/>
      <c r="AA28" s="362">
        <f t="shared" si="5"/>
        <v>1.4</v>
      </c>
      <c r="AB28" s="357">
        <f t="shared" si="6"/>
        <v>2</v>
      </c>
      <c r="AC28" s="358">
        <f t="shared" si="7"/>
        <v>3</v>
      </c>
      <c r="AD28" s="359">
        <f t="shared" si="8"/>
        <v>2</v>
      </c>
      <c r="AE28" s="368">
        <f t="shared" si="9"/>
        <v>3.7777777777777777</v>
      </c>
      <c r="AF28" s="57" t="s">
        <v>46</v>
      </c>
      <c r="AG28" s="116">
        <f t="shared" si="10"/>
        <v>13.694444444444445</v>
      </c>
      <c r="AH28" s="113">
        <v>45</v>
      </c>
      <c r="AI28" s="113">
        <v>15</v>
      </c>
      <c r="AJ28" s="113">
        <v>35</v>
      </c>
      <c r="AK28" s="117"/>
      <c r="AL28" s="259">
        <f t="shared" si="11"/>
        <v>180</v>
      </c>
      <c r="AM28" s="118" t="str">
        <f t="shared" si="12"/>
        <v xml:space="preserve"> </v>
      </c>
      <c r="AN28" s="260">
        <f t="shared" si="13"/>
        <v>35</v>
      </c>
      <c r="AO28" s="118">
        <f t="shared" si="14"/>
        <v>135</v>
      </c>
      <c r="AP28" s="118">
        <f t="shared" si="15"/>
        <v>56.666666666666664</v>
      </c>
      <c r="AQ28" s="118">
        <f t="shared" si="16"/>
        <v>0</v>
      </c>
      <c r="AR28" s="119">
        <f t="shared" si="17"/>
        <v>406.66666666666669</v>
      </c>
      <c r="AS28" s="184"/>
      <c r="AZ28" s="120">
        <f t="shared" si="31"/>
        <v>6.5</v>
      </c>
      <c r="BA28" s="120">
        <f t="shared" si="18"/>
        <v>1.3682432432432432</v>
      </c>
      <c r="BB28" s="120">
        <f t="shared" si="32"/>
        <v>1.4000000000000001</v>
      </c>
      <c r="BC28" s="121">
        <f t="shared" si="19"/>
        <v>2</v>
      </c>
      <c r="BD28" s="121">
        <f t="shared" si="20"/>
        <v>2</v>
      </c>
      <c r="BE28" s="120">
        <f t="shared" si="33"/>
        <v>3</v>
      </c>
      <c r="BF28" s="120">
        <f t="shared" si="21"/>
        <v>2.8777777777777778</v>
      </c>
      <c r="BG28" s="120">
        <f t="shared" si="22"/>
        <v>74</v>
      </c>
      <c r="BH28" s="120" t="e">
        <f t="shared" si="23"/>
        <v>#DIV/0!</v>
      </c>
      <c r="BI28" s="122">
        <f t="shared" si="24"/>
        <v>4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 t="s">
        <v>2626</v>
      </c>
      <c r="C29" s="155" t="s">
        <v>122</v>
      </c>
      <c r="D29" s="112"/>
      <c r="E29" s="113">
        <v>1</v>
      </c>
      <c r="F29" s="113" t="s">
        <v>144</v>
      </c>
      <c r="G29" s="111">
        <v>34</v>
      </c>
      <c r="H29" s="114">
        <v>3.5</v>
      </c>
      <c r="I29" s="111">
        <v>58</v>
      </c>
      <c r="J29" s="245" t="str">
        <f t="shared" si="25"/>
        <v>dead</v>
      </c>
      <c r="K29" s="245">
        <f t="shared" si="26"/>
        <v>34</v>
      </c>
      <c r="L29" s="246" t="str">
        <f t="shared" si="27"/>
        <v>+</v>
      </c>
      <c r="M29" s="247">
        <f t="shared" si="0"/>
        <v>6.5</v>
      </c>
      <c r="N29" s="248" t="str">
        <f t="shared" si="28"/>
        <v>x</v>
      </c>
      <c r="O29" s="249">
        <f t="shared" si="1"/>
        <v>58</v>
      </c>
      <c r="P29" s="250">
        <f t="shared" si="2"/>
        <v>74</v>
      </c>
      <c r="Q29" s="354">
        <f t="shared" si="29"/>
        <v>1.4000000000000001</v>
      </c>
      <c r="R29" s="250">
        <f t="shared" si="3"/>
        <v>62</v>
      </c>
      <c r="S29" s="355">
        <f t="shared" si="30"/>
        <v>1.6</v>
      </c>
      <c r="T29" s="113">
        <v>0</v>
      </c>
      <c r="U29" s="244">
        <f t="shared" si="4"/>
        <v>1</v>
      </c>
      <c r="V29" s="221" t="s">
        <v>2615</v>
      </c>
      <c r="W29" s="221" t="s">
        <v>2499</v>
      </c>
      <c r="X29" s="222" t="s">
        <v>159</v>
      </c>
      <c r="Y29" s="57"/>
      <c r="Z29" s="57"/>
      <c r="AA29" s="362">
        <f t="shared" si="5"/>
        <v>1.4</v>
      </c>
      <c r="AB29" s="357">
        <f t="shared" si="6"/>
        <v>2</v>
      </c>
      <c r="AC29" s="358">
        <f t="shared" si="7"/>
        <v>3</v>
      </c>
      <c r="AD29" s="359">
        <f t="shared" si="8"/>
        <v>2</v>
      </c>
      <c r="AE29" s="368">
        <f t="shared" si="9"/>
        <v>3.7777777777777777</v>
      </c>
      <c r="AF29" s="57" t="s">
        <v>47</v>
      </c>
      <c r="AG29" s="116">
        <f t="shared" si="10"/>
        <v>13.694444444444445</v>
      </c>
      <c r="AH29" s="113">
        <v>45</v>
      </c>
      <c r="AI29" s="113">
        <v>15</v>
      </c>
      <c r="AJ29" s="113">
        <v>35</v>
      </c>
      <c r="AK29" s="117"/>
      <c r="AL29" s="259">
        <f t="shared" si="11"/>
        <v>180</v>
      </c>
      <c r="AM29" s="118" t="str">
        <f t="shared" si="12"/>
        <v xml:space="preserve"> </v>
      </c>
      <c r="AN29" s="260">
        <f t="shared" si="13"/>
        <v>35</v>
      </c>
      <c r="AO29" s="118">
        <f t="shared" si="14"/>
        <v>135</v>
      </c>
      <c r="AP29" s="118">
        <f t="shared" si="15"/>
        <v>56.666666666666664</v>
      </c>
      <c r="AQ29" s="118">
        <f t="shared" si="16"/>
        <v>0</v>
      </c>
      <c r="AR29" s="119">
        <f t="shared" si="17"/>
        <v>406.66666666666669</v>
      </c>
      <c r="AS29" s="184"/>
      <c r="AZ29" s="120">
        <f t="shared" si="31"/>
        <v>6.5</v>
      </c>
      <c r="BA29" s="120">
        <f t="shared" si="18"/>
        <v>1.3682432432432432</v>
      </c>
      <c r="BB29" s="120">
        <f t="shared" si="32"/>
        <v>1.4000000000000001</v>
      </c>
      <c r="BC29" s="121">
        <f t="shared" si="19"/>
        <v>2</v>
      </c>
      <c r="BD29" s="121">
        <f t="shared" si="20"/>
        <v>2</v>
      </c>
      <c r="BE29" s="120">
        <f t="shared" si="33"/>
        <v>3</v>
      </c>
      <c r="BF29" s="120">
        <f t="shared" si="21"/>
        <v>2.8777777777777778</v>
      </c>
      <c r="BG29" s="120">
        <f t="shared" si="22"/>
        <v>74</v>
      </c>
      <c r="BH29" s="120" t="e">
        <f t="shared" si="23"/>
        <v>#DIV/0!</v>
      </c>
      <c r="BI29" s="122">
        <f t="shared" si="24"/>
        <v>4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 t="s">
        <v>2631</v>
      </c>
      <c r="C30" s="155" t="s">
        <v>122</v>
      </c>
      <c r="D30" s="112"/>
      <c r="E30" s="113">
        <v>1</v>
      </c>
      <c r="F30" s="113" t="s">
        <v>144</v>
      </c>
      <c r="G30" s="111">
        <v>34</v>
      </c>
      <c r="H30" s="114">
        <v>3.5</v>
      </c>
      <c r="I30" s="111">
        <v>58</v>
      </c>
      <c r="J30" s="245" t="str">
        <f t="shared" si="25"/>
        <v>dead</v>
      </c>
      <c r="K30" s="245">
        <f t="shared" si="26"/>
        <v>34</v>
      </c>
      <c r="L30" s="246" t="str">
        <f t="shared" si="27"/>
        <v>+</v>
      </c>
      <c r="M30" s="247">
        <f t="shared" si="0"/>
        <v>6.5</v>
      </c>
      <c r="N30" s="248" t="str">
        <f t="shared" si="28"/>
        <v>x</v>
      </c>
      <c r="O30" s="249">
        <f t="shared" si="1"/>
        <v>58</v>
      </c>
      <c r="P30" s="250">
        <f t="shared" si="2"/>
        <v>74</v>
      </c>
      <c r="Q30" s="354">
        <f t="shared" si="29"/>
        <v>1.4000000000000001</v>
      </c>
      <c r="R30" s="250">
        <f t="shared" si="3"/>
        <v>62</v>
      </c>
      <c r="S30" s="355">
        <f t="shared" si="30"/>
        <v>1.6</v>
      </c>
      <c r="T30" s="113">
        <v>0</v>
      </c>
      <c r="U30" s="244">
        <f t="shared" si="4"/>
        <v>1</v>
      </c>
      <c r="V30" s="221" t="s">
        <v>2615</v>
      </c>
      <c r="W30" s="221" t="s">
        <v>2499</v>
      </c>
      <c r="X30" s="222" t="s">
        <v>159</v>
      </c>
      <c r="Y30" s="110"/>
      <c r="Z30" s="65"/>
      <c r="AA30" s="362">
        <f t="shared" si="5"/>
        <v>1.4</v>
      </c>
      <c r="AB30" s="357">
        <f t="shared" si="6"/>
        <v>2</v>
      </c>
      <c r="AC30" s="358">
        <f t="shared" si="7"/>
        <v>3</v>
      </c>
      <c r="AD30" s="359">
        <f t="shared" si="8"/>
        <v>2</v>
      </c>
      <c r="AE30" s="368">
        <f t="shared" si="9"/>
        <v>3.7777777777777777</v>
      </c>
      <c r="AF30" s="117" t="s">
        <v>48</v>
      </c>
      <c r="AG30" s="116">
        <f t="shared" si="10"/>
        <v>13.694444444444445</v>
      </c>
      <c r="AH30" s="113">
        <v>45</v>
      </c>
      <c r="AI30" s="113">
        <v>15</v>
      </c>
      <c r="AJ30" s="113">
        <v>35</v>
      </c>
      <c r="AK30" s="117"/>
      <c r="AL30" s="259">
        <f t="shared" si="11"/>
        <v>180</v>
      </c>
      <c r="AM30" s="118" t="str">
        <f t="shared" si="12"/>
        <v xml:space="preserve"> </v>
      </c>
      <c r="AN30" s="260">
        <f t="shared" si="13"/>
        <v>35</v>
      </c>
      <c r="AO30" s="118">
        <f t="shared" si="14"/>
        <v>135</v>
      </c>
      <c r="AP30" s="118">
        <f t="shared" si="15"/>
        <v>56.666666666666664</v>
      </c>
      <c r="AQ30" s="118">
        <f t="shared" si="16"/>
        <v>0</v>
      </c>
      <c r="AR30" s="119">
        <f t="shared" si="17"/>
        <v>406.66666666666669</v>
      </c>
      <c r="AS30" s="184"/>
      <c r="AZ30" s="120">
        <f t="shared" si="31"/>
        <v>6.5</v>
      </c>
      <c r="BA30" s="120">
        <f t="shared" si="18"/>
        <v>1.3682432432432432</v>
      </c>
      <c r="BB30" s="120">
        <f t="shared" si="32"/>
        <v>1.4000000000000001</v>
      </c>
      <c r="BC30" s="121">
        <f t="shared" si="19"/>
        <v>2</v>
      </c>
      <c r="BD30" s="121">
        <f t="shared" si="20"/>
        <v>2</v>
      </c>
      <c r="BE30" s="120">
        <f t="shared" si="33"/>
        <v>3</v>
      </c>
      <c r="BF30" s="120">
        <f t="shared" si="21"/>
        <v>2.8777777777777778</v>
      </c>
      <c r="BG30" s="120">
        <f t="shared" si="22"/>
        <v>74</v>
      </c>
      <c r="BH30" s="120" t="e">
        <f t="shared" si="23"/>
        <v>#DIV/0!</v>
      </c>
      <c r="BI30" s="122">
        <f t="shared" si="24"/>
        <v>4</v>
      </c>
      <c r="BJ30" s="120"/>
      <c r="BK30" s="156" t="s">
        <v>159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60</v>
      </c>
      <c r="AD31" s="361"/>
      <c r="AE31" s="356">
        <f>SUM(AE11:AE30)</f>
        <v>75.249999999999986</v>
      </c>
      <c r="AF31" s="123" t="s">
        <v>17</v>
      </c>
      <c r="AG31" s="124"/>
      <c r="AL31" s="125">
        <f t="shared" ref="AL31:AP31" si="34">SUM(AL11:AL30)</f>
        <v>3600</v>
      </c>
      <c r="AM31" s="126">
        <f t="shared" si="34"/>
        <v>0</v>
      </c>
      <c r="AN31" s="127">
        <f t="shared" si="34"/>
        <v>700</v>
      </c>
      <c r="AO31" s="162">
        <f t="shared" si="34"/>
        <v>2700</v>
      </c>
      <c r="AP31" s="162">
        <f t="shared" si="34"/>
        <v>1166.5277777777778</v>
      </c>
      <c r="AQ31" s="162">
        <v>90</v>
      </c>
      <c r="AR31" s="158">
        <f>SUM(AL31:AQ31)</f>
        <v>8256.5277777777774</v>
      </c>
      <c r="AS31" s="184"/>
      <c r="AW31" s="399"/>
      <c r="BC31" s="53">
        <f t="shared" si="19"/>
        <v>0</v>
      </c>
      <c r="BK31" s="156" t="s">
        <v>158</v>
      </c>
      <c r="BL31" s="157">
        <v>60</v>
      </c>
      <c r="BO31" s="196"/>
    </row>
    <row r="32" spans="1:67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 t="s">
        <v>40</v>
      </c>
      <c r="W32" s="414" t="s">
        <v>2618</v>
      </c>
      <c r="X32" s="255"/>
      <c r="Y32" s="303" t="s">
        <v>2551</v>
      </c>
      <c r="Z32" s="342">
        <f>AC31+'Worksheet 2'!AC31</f>
        <v>60</v>
      </c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8" t="s">
        <v>38</v>
      </c>
      <c r="AQ32" s="396">
        <f>'Worksheet 2'!AR31</f>
        <v>0</v>
      </c>
      <c r="AR32" s="395">
        <f>AR31+AQ32+AM35</f>
        <v>8259.9977777777767</v>
      </c>
      <c r="AS32" s="394" t="s">
        <v>2596</v>
      </c>
      <c r="BK32" s="156" t="s">
        <v>2550</v>
      </c>
      <c r="BL32" s="157">
        <v>54</v>
      </c>
      <c r="BO32" s="196"/>
    </row>
    <row r="33" spans="1:67" s="53" customFormat="1" ht="15.95" customHeight="1" thickBot="1">
      <c r="A33" s="198"/>
      <c r="B33" s="131" t="s">
        <v>69</v>
      </c>
      <c r="C33" s="132"/>
      <c r="D33" s="133"/>
      <c r="E33" s="132"/>
      <c r="F33" s="134" t="s">
        <v>2616</v>
      </c>
      <c r="G33" s="57" t="s">
        <v>2621</v>
      </c>
      <c r="H33" s="80"/>
      <c r="O33" s="129"/>
      <c r="P33" s="43"/>
      <c r="Q33" s="43"/>
      <c r="R33" s="57"/>
      <c r="S33" s="66"/>
      <c r="T33" s="66"/>
      <c r="U33" s="66"/>
      <c r="V33" s="66"/>
      <c r="W33" s="78" t="s">
        <v>2619</v>
      </c>
      <c r="X33" s="163"/>
      <c r="Y33" s="303" t="s">
        <v>2552</v>
      </c>
      <c r="Z33" s="342">
        <f>AE31+'Worksheet 2'!AE31</f>
        <v>75.249999999999986</v>
      </c>
      <c r="AA33" s="43"/>
      <c r="AB33" s="441"/>
      <c r="AE33" s="66"/>
      <c r="AF33" s="43"/>
      <c r="AK33" s="46" t="s">
        <v>89</v>
      </c>
      <c r="AL33" s="66"/>
      <c r="AM33" s="135">
        <v>1</v>
      </c>
      <c r="AN33" s="136"/>
      <c r="AP33" s="137" t="s">
        <v>2604</v>
      </c>
      <c r="AQ33" s="402"/>
      <c r="AR33" s="403"/>
      <c r="AS33" s="186"/>
      <c r="AX33" s="435" t="s">
        <v>2603</v>
      </c>
      <c r="AY33" s="435"/>
      <c r="AZ33" s="435"/>
      <c r="BK33" s="156"/>
      <c r="BL33" s="157"/>
      <c r="BO33" s="196"/>
    </row>
    <row r="34" spans="1:67" s="53" customFormat="1" ht="18" customHeight="1" thickBot="1">
      <c r="A34" s="198"/>
      <c r="B34" s="138" t="s">
        <v>70</v>
      </c>
      <c r="C34" s="128"/>
      <c r="D34" s="139"/>
      <c r="E34" s="132"/>
      <c r="F34" s="134"/>
      <c r="G34" s="57" t="s">
        <v>2622</v>
      </c>
      <c r="H34" s="80"/>
      <c r="N34" s="304" t="s">
        <v>2553</v>
      </c>
      <c r="O34" s="342">
        <f>SUM(Q43+S43+'Worksheet 2'!O34)/sew_price*10</f>
        <v>10</v>
      </c>
      <c r="P34" s="43"/>
      <c r="Q34" s="43"/>
      <c r="R34" s="256">
        <v>2</v>
      </c>
      <c r="S34" s="66"/>
      <c r="T34" s="66"/>
      <c r="U34" s="66"/>
      <c r="V34" s="66"/>
      <c r="W34" s="78" t="s">
        <v>2620</v>
      </c>
      <c r="X34" s="163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2605</v>
      </c>
      <c r="AQ34" s="128"/>
      <c r="AR34" s="404">
        <f>+IF(AR32&lt;500,AZ34,IF(AR32&lt;1000,AZ35,IF(AR32&lt;3000,AZ36,IF(AR32&lt;8000,AZ37,IF(AR32&gt;7999,AZ38," ")))))</f>
        <v>500</v>
      </c>
      <c r="AS34" s="186"/>
      <c r="AX34" s="442" t="s">
        <v>2598</v>
      </c>
      <c r="AY34" s="442"/>
      <c r="AZ34" s="400">
        <v>50</v>
      </c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138" t="s">
        <v>18</v>
      </c>
      <c r="C35" s="128"/>
      <c r="D35" s="139"/>
      <c r="E35" s="132"/>
      <c r="F35" s="134"/>
      <c r="G35" s="57"/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2" t="s">
        <v>2607</v>
      </c>
      <c r="AM35" s="411">
        <v>3.47</v>
      </c>
      <c r="AN35" s="410" t="s">
        <v>13</v>
      </c>
      <c r="AP35" s="137" t="s">
        <v>2524</v>
      </c>
      <c r="AQ35" s="128"/>
      <c r="AR35" s="193">
        <v>200</v>
      </c>
      <c r="AS35" s="187"/>
      <c r="AX35" s="442" t="s">
        <v>2599</v>
      </c>
      <c r="AY35" s="442"/>
      <c r="AZ35" s="400">
        <v>100</v>
      </c>
      <c r="BK35" s="156" t="s">
        <v>161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2608</v>
      </c>
      <c r="AP36" s="407" t="s">
        <v>19</v>
      </c>
      <c r="AQ36" s="43"/>
      <c r="AR36" s="143">
        <f>AR32+AQ33+AR33+AR34+AR35</f>
        <v>8959.9977777777767</v>
      </c>
      <c r="AS36" s="187"/>
      <c r="AT36" s="182" t="b">
        <v>0</v>
      </c>
      <c r="AX36" s="434" t="s">
        <v>2600</v>
      </c>
      <c r="AY36" s="434"/>
      <c r="AZ36" s="401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 thickBot="1">
      <c r="A37" s="198"/>
      <c r="B37" s="144" t="s">
        <v>20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36" t="s">
        <v>21</v>
      </c>
      <c r="W37" s="437"/>
      <c r="X37" s="78" t="s">
        <v>2617</v>
      </c>
      <c r="Y37" s="258"/>
      <c r="AG37" s="46"/>
      <c r="AJ37" s="66"/>
      <c r="AK37" s="66"/>
      <c r="AM37" s="43" t="s">
        <v>136</v>
      </c>
      <c r="AN37" s="145">
        <v>0</v>
      </c>
      <c r="AP37" s="64"/>
      <c r="AQ37" s="397" t="s">
        <v>22</v>
      </c>
      <c r="AR37" s="408">
        <f>IF($AT$36=TRUE,(AR32-(AL31+AM31+'Worksheet 2'!AL31+'Worksheet 2'!AM31))*AN37, AR36*AN37)</f>
        <v>0</v>
      </c>
      <c r="AS37" s="186"/>
      <c r="AT37" s="198"/>
      <c r="AX37" s="434" t="s">
        <v>2601</v>
      </c>
      <c r="AY37" s="434"/>
      <c r="AZ37" s="401">
        <v>250</v>
      </c>
      <c r="BK37" s="156" t="s">
        <v>134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4"/>
      <c r="AQ38" s="409" t="s">
        <v>23</v>
      </c>
      <c r="AR38" s="406">
        <f>SUM(AR36:AR37)</f>
        <v>8959.9977777777767</v>
      </c>
      <c r="AS38" s="188"/>
      <c r="AX38" s="434" t="s">
        <v>2602</v>
      </c>
      <c r="AY38" s="434"/>
      <c r="AZ38" s="401">
        <v>500</v>
      </c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5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2">
        <f>SUM(Q11:Q30)</f>
        <v>27.999999999999989</v>
      </c>
      <c r="S43" s="352">
        <f>SUM(S11:S30)</f>
        <v>32.000000000000007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xWindow="175" yWindow="524" count="6">
    <dataValidation type="whole" operator="equal" allowBlank="1" showInputMessage="1" showErrorMessage="1" errorTitle="Value Too High" error="Please enter 1 drapery per line." sqref="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2:E26 D11:E20 E28:E3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175" yWindow="524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260" zoomScaleNormal="100" zoomScaleSheetLayoutView="100" workbookViewId="0">
      <selection activeCell="R269" sqref="C1:R269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Gregory Mill WO#C5364027-00086.01</v>
      </c>
      <c r="E1" s="22"/>
      <c r="F1" s="23"/>
      <c r="G1" s="22"/>
      <c r="H1" s="24"/>
      <c r="I1" s="25">
        <f>+Worksheet!$AR$1</f>
        <v>33517</v>
      </c>
      <c r="J1" s="26"/>
      <c r="L1" s="164" t="s">
        <v>113</v>
      </c>
      <c r="M1" s="21" t="str">
        <f>+Worksheet!$W$4</f>
        <v>Gregory Mill WO#C5364027-00086.01</v>
      </c>
      <c r="N1" s="22"/>
      <c r="O1" s="23"/>
      <c r="P1" s="22"/>
      <c r="Q1" s="24"/>
      <c r="R1" s="25">
        <f>+Worksheet!$AR$1</f>
        <v>33517</v>
      </c>
    </row>
    <row r="2" spans="1:18" ht="33" customHeight="1">
      <c r="C2" s="165" t="s">
        <v>128</v>
      </c>
      <c r="D2" s="150" cm="1">
        <f t="array" aca="1" ref="D2" ca="1">INDIRECT("'Worksheet'!$K"&amp;$B1)</f>
        <v>34</v>
      </c>
      <c r="E2" s="151" t="s">
        <v>115</v>
      </c>
      <c r="F2" s="150" cm="1">
        <f t="array" aca="1" ref="F2" ca="1">INDIRECT("'Worksheet'!$M"&amp;$B1)</f>
        <v>6.5</v>
      </c>
      <c r="G2" s="151" t="s">
        <v>122</v>
      </c>
      <c r="H2" s="150" cm="1">
        <f t="array" aca="1" ref="H2" ca="1">INDIRECT("'Worksheet'!$O"&amp;$B1)</f>
        <v>57.5</v>
      </c>
      <c r="I2" s="29" t="str">
        <f>+IF(Worksheet!$R$34=1,"Install",IF(Worksheet!$R$34=2,"Ship",IF(Worksheet!$R$34=3,"Deliver",IF(Worksheet!$R$34=4,"Will Call"))))</f>
        <v>Ship</v>
      </c>
      <c r="J2" s="30"/>
      <c r="L2" s="165" t="s">
        <v>128</v>
      </c>
      <c r="M2" s="150">
        <f t="shared" ref="M2:M10" ca="1" si="0">D2</f>
        <v>34</v>
      </c>
      <c r="N2" s="151" t="s">
        <v>115</v>
      </c>
      <c r="O2" s="152">
        <f ca="1">F2</f>
        <v>6.5</v>
      </c>
      <c r="P2" s="151" t="s">
        <v>122</v>
      </c>
      <c r="Q2" s="153">
        <f ca="1">H2</f>
        <v>57.5</v>
      </c>
      <c r="R2" s="29" t="str">
        <f>+IF(Worksheet!$R$34=1,"Install",IF(Worksheet!$R$34=2,"Ship",IF(Worksheet!$R$34=3,"Deliver",IF(Worksheet!$R$34=4,"Will Call"))))</f>
        <v>Ship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101.25</v>
      </c>
      <c r="E3" s="19" t="s">
        <v>122</v>
      </c>
      <c r="F3" s="369">
        <f ca="1">H2+15</f>
        <v>72.5</v>
      </c>
      <c r="G3" s="447" cm="1">
        <f t="array" aca="1" ref="G3" ca="1">INDIRECT("'Worksheet'!$Y"&amp;$B1)</f>
        <v>0</v>
      </c>
      <c r="H3" s="447"/>
      <c r="I3" s="448"/>
      <c r="L3" s="164" t="s">
        <v>121</v>
      </c>
      <c r="M3">
        <f t="shared" ca="1" si="0"/>
        <v>101.25</v>
      </c>
      <c r="N3" s="19" t="s">
        <v>122</v>
      </c>
      <c r="O3" s="369">
        <f ca="1">F3</f>
        <v>72.5</v>
      </c>
      <c r="P3" s="449">
        <f ca="1">G3</f>
        <v>0</v>
      </c>
      <c r="Q3" s="449"/>
      <c r="R3" s="450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1.4000000000000001</v>
      </c>
      <c r="E4" s="42" t="s">
        <v>41</v>
      </c>
      <c r="F4" s="370"/>
      <c r="G4" s="447"/>
      <c r="H4" s="447"/>
      <c r="I4" s="448"/>
      <c r="L4" s="166"/>
      <c r="M4" s="161">
        <f t="shared" ca="1" si="0"/>
        <v>1.4000000000000001</v>
      </c>
      <c r="N4" s="42" t="s">
        <v>41</v>
      </c>
      <c r="O4" s="370"/>
      <c r="P4" s="449"/>
      <c r="Q4" s="451"/>
      <c r="R4" s="452"/>
    </row>
    <row r="5" spans="1:18" ht="15.75">
      <c r="C5" s="164" t="s">
        <v>135</v>
      </c>
      <c r="D5" s="19">
        <f ca="1">+IF(D9="yes",IF($D11="Left of Pair",($D6*$H9),IF($D11="Panel",$D6*$H9,IF($H11="SOR",$D6*$H9," ")))," ")</f>
        <v>99.2</v>
      </c>
      <c r="E5" s="19" t="s">
        <v>122</v>
      </c>
      <c r="F5" s="369">
        <f ca="1">IF(D9="YES",H2+12," ")</f>
        <v>69.5</v>
      </c>
      <c r="H5" s="343" t="s">
        <v>10</v>
      </c>
      <c r="I5" s="371" cm="1">
        <f t="array" aca="1" ref="I5" ca="1">INDIRECT("'Worksheet'!$Q"&amp;B1)</f>
        <v>1.4000000000000001</v>
      </c>
      <c r="L5" s="164" t="s">
        <v>135</v>
      </c>
      <c r="M5">
        <f t="shared" ca="1" si="0"/>
        <v>99.2</v>
      </c>
      <c r="N5" s="19" t="s">
        <v>122</v>
      </c>
      <c r="O5" s="369">
        <f ca="1">F5</f>
        <v>69.5</v>
      </c>
      <c r="P5" s="19"/>
      <c r="Q5" s="343" t="s">
        <v>10</v>
      </c>
      <c r="R5" s="160">
        <f ca="1">I5</f>
        <v>1.4000000000000001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1.6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40.5</v>
      </c>
      <c r="L6" s="167"/>
      <c r="M6" s="344">
        <f t="shared" ca="1" si="0"/>
        <v>1.6</v>
      </c>
      <c r="N6" s="345" t="s">
        <v>41</v>
      </c>
      <c r="O6" s="372"/>
      <c r="P6" s="20"/>
      <c r="Q6" s="343" t="s">
        <v>116</v>
      </c>
      <c r="R6" s="32">
        <f ca="1">I6</f>
        <v>40.5</v>
      </c>
    </row>
    <row r="7" spans="1:18" ht="15" customHeight="1">
      <c r="C7" s="168" t="s">
        <v>114</v>
      </c>
      <c r="D7" s="373" t="str" cm="1">
        <f t="array" aca="1" ref="D7" ca="1">INDIRECT("'Worksheet'!$B"&amp;$B1)</f>
        <v>Primary</v>
      </c>
      <c r="E7" s="22"/>
      <c r="F7" s="23"/>
      <c r="G7" s="22"/>
      <c r="H7" s="24"/>
      <c r="I7" s="444" t="str" cm="1">
        <f t="array" aca="1" ref="I7" ca="1">INDIRECT("'Worksheet'!$A"&amp;$B1)</f>
        <v>P1-1</v>
      </c>
      <c r="L7" s="168" t="s">
        <v>114</v>
      </c>
      <c r="M7" s="31" t="str">
        <f t="shared" ca="1" si="0"/>
        <v>Primary</v>
      </c>
      <c r="N7" s="20"/>
      <c r="O7" s="33"/>
      <c r="P7" s="27"/>
      <c r="Q7" s="24"/>
      <c r="R7" s="444" t="str">
        <f ca="1">I7</f>
        <v>P1-1</v>
      </c>
    </row>
    <row r="8" spans="1:18" ht="15.75" customHeight="1">
      <c r="C8" s="164" t="s">
        <v>117</v>
      </c>
      <c r="D8" s="346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45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45"/>
    </row>
    <row r="9" spans="1:18" ht="15.75" customHeight="1">
      <c r="C9" s="164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1" cm="1">
        <f t="array" aca="1" ref="H9" ca="1">INDIRECT("'Worksheet'!$R"&amp;$B1)</f>
        <v>62</v>
      </c>
      <c r="I9" s="445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2">
        <f ca="1">H9</f>
        <v>62</v>
      </c>
      <c r="R9" s="445"/>
    </row>
    <row r="10" spans="1:18" ht="15.75" customHeight="1">
      <c r="C10" s="164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1" cm="1">
        <f t="array" aca="1" ref="H10" ca="1">INDIRECT("'Worksheet'!$P"&amp;$B1)</f>
        <v>74</v>
      </c>
      <c r="I10" s="446"/>
      <c r="L10" s="164" t="s">
        <v>13</v>
      </c>
      <c r="M10" s="21" t="str">
        <f t="shared" ca="1" si="0"/>
        <v>5th Avenue 72</v>
      </c>
      <c r="N10" s="22"/>
      <c r="O10" s="23"/>
      <c r="P10" s="22"/>
      <c r="Q10" s="392">
        <f ca="1">H10</f>
        <v>74</v>
      </c>
      <c r="R10" s="446"/>
    </row>
    <row r="11" spans="1:18" ht="23.25">
      <c r="C11" s="348" t="str" cm="1">
        <f t="array" aca="1" ref="C11" ca="1">INDIRECT("'Worksheet'!$J"&amp;$B1)</f>
        <v>dead</v>
      </c>
      <c r="D11" s="443" t="str" cm="1">
        <f t="array" aca="1" ref="D11" ca="1">IF(INDIRECT("'Worksheet'!$D"&amp;$B1)=1, "Left of Pair", IF(INDIRECT("'Worksheet'!$E"&amp;$B1)=1, "Panel"))</f>
        <v>Panel</v>
      </c>
      <c r="E11" s="443"/>
      <c r="F11" s="443"/>
      <c r="G11" s="374"/>
      <c r="H11" s="374" t="str" cm="1">
        <f t="array" aca="1" ref="H11" ca="1">IF(INDIRECT("'Worksheet'!$F"&amp;$B1)="st","SOR T&amp;B"," ")</f>
        <v xml:space="preserve"> </v>
      </c>
      <c r="I11" s="375"/>
      <c r="L11" s="41" t="str">
        <f ca="1">$C11</f>
        <v>dead</v>
      </c>
      <c r="M11" s="443" t="str" cm="1">
        <f t="array" aca="1" ref="M11" ca="1">IF(INDIRECT("'Worksheet'!$D"&amp;$B1)=1, "Right of Pair", IF(INDIRECT("'Worksheet'!$E"&amp;$B1)=1, "Do Not Use"))</f>
        <v>Do Not Use</v>
      </c>
      <c r="N11" s="443"/>
      <c r="O11" s="443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Gregory Mill WO#C5364027-00086.01</v>
      </c>
      <c r="E15" s="22"/>
      <c r="F15" s="23"/>
      <c r="G15" s="22"/>
      <c r="H15" s="24"/>
      <c r="I15" s="25">
        <f>+Worksheet!$AR$1</f>
        <v>33517</v>
      </c>
      <c r="J15" s="26"/>
      <c r="L15" s="164" t="s">
        <v>113</v>
      </c>
      <c r="M15" s="21" t="str">
        <f>+Worksheet!$W$4</f>
        <v>Gregory Mill WO#C5364027-00086.01</v>
      </c>
      <c r="N15" s="22"/>
      <c r="O15" s="23"/>
      <c r="P15" s="22"/>
      <c r="Q15" s="24"/>
      <c r="R15" s="25">
        <f>+Worksheet!$AR$1</f>
        <v>33517</v>
      </c>
    </row>
    <row r="16" spans="1:18" ht="33" customHeight="1">
      <c r="C16" s="165" t="s">
        <v>128</v>
      </c>
      <c r="D16" s="150" cm="1">
        <f t="array" aca="1" ref="D16" ca="1">INDIRECT("'Worksheet'!$K"&amp;$B15)</f>
        <v>34</v>
      </c>
      <c r="E16" s="151" t="s">
        <v>115</v>
      </c>
      <c r="F16" s="150" cm="1">
        <f t="array" aca="1" ref="F16" ca="1">INDIRECT("'Worksheet'!$M"&amp;$B15)</f>
        <v>6.5</v>
      </c>
      <c r="G16" s="151" t="s">
        <v>122</v>
      </c>
      <c r="H16" s="150" cm="1">
        <f t="array" aca="1" ref="H16" ca="1">INDIRECT("'Worksheet'!$O"&amp;$B15)</f>
        <v>57.5</v>
      </c>
      <c r="I16" s="29" t="str">
        <f>+IF(Worksheet!$R$34=1,"Install",IF(Worksheet!$R$34=2,"Ship",IF(Worksheet!$R$34=3,"Deliver",IF(Worksheet!$R$34=4,"Will Call"))))</f>
        <v>Ship</v>
      </c>
      <c r="J16" s="30"/>
      <c r="L16" s="165" t="s">
        <v>128</v>
      </c>
      <c r="M16" s="150">
        <f t="shared" ref="M16:M24" ca="1" si="1">D16</f>
        <v>34</v>
      </c>
      <c r="N16" s="151" t="s">
        <v>115</v>
      </c>
      <c r="O16" s="152">
        <f ca="1">F16</f>
        <v>6.5</v>
      </c>
      <c r="P16" s="151" t="s">
        <v>122</v>
      </c>
      <c r="Q16" s="153">
        <f ca="1">H16</f>
        <v>57.5</v>
      </c>
      <c r="R16" s="29" t="str">
        <f>+IF(Worksheet!$R$34=1,"Install",IF(Worksheet!$R$34=2,"Ship",IF(Worksheet!$R$34=3,"Deliver",IF(Worksheet!$R$34=4,"Will Call"))))</f>
        <v>Ship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101.25</v>
      </c>
      <c r="E17" s="19" t="s">
        <v>122</v>
      </c>
      <c r="F17" s="369">
        <f ca="1">H16+15</f>
        <v>72.5</v>
      </c>
      <c r="G17" s="447" cm="1">
        <f t="array" aca="1" ref="G17" ca="1">INDIRECT("'Worksheet'!$Y"&amp;$B15)</f>
        <v>0</v>
      </c>
      <c r="H17" s="447"/>
      <c r="I17" s="448"/>
      <c r="L17" s="164" t="s">
        <v>121</v>
      </c>
      <c r="M17">
        <f t="shared" ca="1" si="1"/>
        <v>101.25</v>
      </c>
      <c r="N17" s="19" t="s">
        <v>122</v>
      </c>
      <c r="O17" s="369">
        <f ca="1">F17</f>
        <v>72.5</v>
      </c>
      <c r="P17" s="449">
        <f ca="1">G17</f>
        <v>0</v>
      </c>
      <c r="Q17" s="449"/>
      <c r="R17" s="450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1.4000000000000001</v>
      </c>
      <c r="E18" s="42" t="s">
        <v>41</v>
      </c>
      <c r="F18" s="370"/>
      <c r="G18" s="447"/>
      <c r="H18" s="447"/>
      <c r="I18" s="448"/>
      <c r="L18" s="166"/>
      <c r="M18" s="161">
        <f t="shared" ca="1" si="1"/>
        <v>1.4000000000000001</v>
      </c>
      <c r="N18" s="42" t="s">
        <v>41</v>
      </c>
      <c r="O18" s="370"/>
      <c r="P18" s="449"/>
      <c r="Q18" s="451"/>
      <c r="R18" s="452"/>
    </row>
    <row r="19" spans="1:18" ht="15.75">
      <c r="C19" s="164" t="s">
        <v>135</v>
      </c>
      <c r="D19" s="19">
        <f ca="1">+IF(D23="yes",IF($D25="Left of Pair",($D20*$H23),IF($D25="Panel",$D20*$H23,IF($H25="SOR",$D20*$H23," ")))," ")</f>
        <v>99.2</v>
      </c>
      <c r="E19" s="19" t="s">
        <v>122</v>
      </c>
      <c r="F19" s="369">
        <f ca="1">IF(D23="YES",H16+12," ")</f>
        <v>69.5</v>
      </c>
      <c r="H19" s="343" t="s">
        <v>10</v>
      </c>
      <c r="I19" s="371" cm="1">
        <f t="array" aca="1" ref="I19" ca="1">INDIRECT("'Worksheet'!$Q"&amp;B15)</f>
        <v>1.4000000000000001</v>
      </c>
      <c r="L19" s="164" t="s">
        <v>135</v>
      </c>
      <c r="M19">
        <f t="shared" ca="1" si="1"/>
        <v>99.2</v>
      </c>
      <c r="N19" s="19" t="s">
        <v>122</v>
      </c>
      <c r="O19" s="369">
        <f ca="1">F19</f>
        <v>69.5</v>
      </c>
      <c r="P19" s="19"/>
      <c r="Q19" s="343" t="s">
        <v>10</v>
      </c>
      <c r="R19" s="160">
        <f ca="1">I19</f>
        <v>1.4000000000000001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1.6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40.5</v>
      </c>
      <c r="L20" s="167"/>
      <c r="M20" s="344">
        <f t="shared" ca="1" si="1"/>
        <v>1.6</v>
      </c>
      <c r="N20" s="345" t="s">
        <v>41</v>
      </c>
      <c r="O20" s="372"/>
      <c r="P20" s="20"/>
      <c r="Q20" s="343" t="s">
        <v>116</v>
      </c>
      <c r="R20" s="32">
        <f ca="1">I20</f>
        <v>40.5</v>
      </c>
    </row>
    <row r="21" spans="1:18" ht="12.75" customHeight="1">
      <c r="C21" s="168" t="s">
        <v>114</v>
      </c>
      <c r="D21" s="373" t="str" cm="1">
        <f t="array" aca="1" ref="D21" ca="1">INDIRECT("'Worksheet'!$B"&amp;$B15)</f>
        <v>Primary</v>
      </c>
      <c r="E21" s="22"/>
      <c r="F21" s="23"/>
      <c r="G21" s="22"/>
      <c r="H21" s="24"/>
      <c r="I21" s="444" t="str" cm="1">
        <f t="array" aca="1" ref="I21" ca="1">INDIRECT("'Worksheet'!$A"&amp;$B15)</f>
        <v>P1-2</v>
      </c>
      <c r="L21" s="168" t="s">
        <v>114</v>
      </c>
      <c r="M21" s="31" t="str">
        <f t="shared" ca="1" si="1"/>
        <v>Primary</v>
      </c>
      <c r="N21" s="20"/>
      <c r="O21" s="33"/>
      <c r="P21" s="27"/>
      <c r="Q21" s="24"/>
      <c r="R21" s="444" t="str">
        <f ca="1">I21</f>
        <v>P1-2</v>
      </c>
    </row>
    <row r="22" spans="1:18" ht="15.75" customHeight="1">
      <c r="C22" s="164" t="s">
        <v>117</v>
      </c>
      <c r="D22" s="346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45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45"/>
    </row>
    <row r="23" spans="1:18" ht="15.75" customHeight="1">
      <c r="C23" s="164" t="s">
        <v>119</v>
      </c>
      <c r="D23" s="37" t="str">
        <f ca="1">IF($E23&gt;0,"YES"," ")</f>
        <v>YES</v>
      </c>
      <c r="E23" s="347" t="str" cm="1">
        <f t="array" aca="1" ref="E23" ca="1">INDIRECT("'Worksheet'!$X"&amp;$B15)</f>
        <v xml:space="preserve">Flameguard </v>
      </c>
      <c r="F23" s="39"/>
      <c r="G23" s="20"/>
      <c r="H23" s="391" cm="1">
        <f t="array" aca="1" ref="H23" ca="1">INDIRECT("'Worksheet'!$R"&amp;$B15)</f>
        <v>62</v>
      </c>
      <c r="I23" s="445"/>
      <c r="J23" s="40"/>
      <c r="L23" s="164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2">
        <f ca="1">H23</f>
        <v>62</v>
      </c>
      <c r="R23" s="445"/>
    </row>
    <row r="24" spans="1:18" ht="15.75" customHeight="1">
      <c r="C24" s="164" t="s">
        <v>13</v>
      </c>
      <c r="D24" s="347" t="str" cm="1">
        <f t="array" aca="1" ref="D24" ca="1">INDIRECT("'Worksheet'!$W"&amp;$B15)</f>
        <v>5th Avenue 72</v>
      </c>
      <c r="E24" s="22"/>
      <c r="F24" s="23"/>
      <c r="G24" s="22"/>
      <c r="H24" s="391" cm="1">
        <f t="array" aca="1" ref="H24" ca="1">INDIRECT("'Worksheet'!$P"&amp;$B15)</f>
        <v>74</v>
      </c>
      <c r="I24" s="446"/>
      <c r="L24" s="164" t="s">
        <v>13</v>
      </c>
      <c r="M24" s="21" t="str">
        <f t="shared" ca="1" si="1"/>
        <v>5th Avenue 72</v>
      </c>
      <c r="N24" s="22"/>
      <c r="O24" s="23"/>
      <c r="P24" s="22"/>
      <c r="Q24" s="392">
        <f ca="1">H24</f>
        <v>74</v>
      </c>
      <c r="R24" s="446"/>
    </row>
    <row r="25" spans="1:18" ht="23.25">
      <c r="C25" s="348" t="str" cm="1">
        <f t="array" aca="1" ref="C25" ca="1">INDIRECT("'Worksheet'!$J"&amp;$B15)</f>
        <v>dead</v>
      </c>
      <c r="D25" s="443" t="str" cm="1">
        <f t="array" aca="1" ref="D25" ca="1">IF(INDIRECT("'Worksheet'!$D"&amp;$B15)=1, "Left of Pair", IF(INDIRECT("'Worksheet'!$E"&amp;$B15)=1, "Panel"))</f>
        <v>Panel</v>
      </c>
      <c r="E25" s="443"/>
      <c r="F25" s="443"/>
      <c r="G25" s="374"/>
      <c r="H25" s="374" t="str" cm="1">
        <f t="array" aca="1" ref="H25" ca="1">IF(INDIRECT("'Worksheet'!$F"&amp;$B15)="st","SOR T&amp;B"," ")</f>
        <v xml:space="preserve"> </v>
      </c>
      <c r="I25" s="375"/>
      <c r="L25" s="41" t="str">
        <f ca="1">$C25</f>
        <v>dead</v>
      </c>
      <c r="M25" s="443" t="str" cm="1">
        <f t="array" aca="1" ref="M25" ca="1">IF(INDIRECT("'Worksheet'!$D"&amp;$B15)=1, "Right of Pair", IF(INDIRECT("'Worksheet'!$E"&amp;$B15)=1, "Do Not Use"))</f>
        <v>Do Not Use</v>
      </c>
      <c r="N25" s="443"/>
      <c r="O25" s="443"/>
      <c r="P25" s="374"/>
      <c r="Q25" s="374"/>
      <c r="R25" s="375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+Worksheet!$W$4</f>
        <v>Gregory Mill WO#C5364027-00086.01</v>
      </c>
      <c r="E29" s="22"/>
      <c r="F29" s="23"/>
      <c r="G29" s="22"/>
      <c r="H29" s="24"/>
      <c r="I29" s="25">
        <f>+Worksheet!$AR$1</f>
        <v>33517</v>
      </c>
      <c r="J29" s="26"/>
      <c r="L29" s="164" t="s">
        <v>113</v>
      </c>
      <c r="M29" s="21" t="str">
        <f>+Worksheet!$W$4</f>
        <v>Gregory Mill WO#C5364027-00086.01</v>
      </c>
      <c r="N29" s="22"/>
      <c r="O29" s="23"/>
      <c r="P29" s="22"/>
      <c r="Q29" s="24"/>
      <c r="R29" s="25">
        <f>+Worksheet!$AR$1</f>
        <v>33517</v>
      </c>
    </row>
    <row r="30" spans="1:18" ht="33" customHeight="1">
      <c r="C30" s="165" t="s">
        <v>128</v>
      </c>
      <c r="D30" s="150" cm="1">
        <f t="array" aca="1" ref="D30" ca="1">INDIRECT("'Worksheet'!$K"&amp;$B29)</f>
        <v>34</v>
      </c>
      <c r="E30" s="151" t="s">
        <v>115</v>
      </c>
      <c r="F30" s="150" cm="1">
        <f t="array" aca="1" ref="F30" ca="1">INDIRECT("'Worksheet'!$M"&amp;$B29)</f>
        <v>6.5</v>
      </c>
      <c r="G30" s="151" t="s">
        <v>122</v>
      </c>
      <c r="H30" s="150" cm="1">
        <f t="array" aca="1" ref="H30" ca="1">INDIRECT("'Worksheet'!$O"&amp;$B29)</f>
        <v>57.5</v>
      </c>
      <c r="I30" s="29" t="str">
        <f>+IF(Worksheet!$R$34=1,"Install",IF(Worksheet!$R$34=2,"Ship",IF(Worksheet!$R$34=3,"Deliver",IF(Worksheet!$R$34=4,"Will Call"))))</f>
        <v>Ship</v>
      </c>
      <c r="J30" s="30"/>
      <c r="L30" s="165" t="s">
        <v>128</v>
      </c>
      <c r="M30" s="150">
        <f t="shared" ref="M30:M38" ca="1" si="2">D30</f>
        <v>34</v>
      </c>
      <c r="N30" s="151" t="s">
        <v>115</v>
      </c>
      <c r="O30" s="152">
        <f ca="1">F30</f>
        <v>6.5</v>
      </c>
      <c r="P30" s="151" t="s">
        <v>122</v>
      </c>
      <c r="Q30" s="153">
        <f ca="1">H30</f>
        <v>57.5</v>
      </c>
      <c r="R30" s="29" t="str">
        <f>+IF(Worksheet!$R$34=1,"Install",IF(Worksheet!$R$34=2,"Ship",IF(Worksheet!$R$34=3,"Deliver",IF(Worksheet!$R$34=4,"Will Call"))))</f>
        <v>Ship</v>
      </c>
    </row>
    <row r="31" spans="1:18" ht="12.75" customHeight="1">
      <c r="C31" s="164" t="s">
        <v>121</v>
      </c>
      <c r="D31" s="19">
        <f ca="1">+IF($D39="Left of Pair",((D30+F30)*Worksheet!$AE$7)/2,IF($D39="Panel",(D30+F30)*Worksheet!$AE$7,IF($H39="SOR",D30*2.5+6,IF($H39="SOR T&amp;B",D30*2.5+6))))</f>
        <v>101.25</v>
      </c>
      <c r="E31" s="19" t="s">
        <v>122</v>
      </c>
      <c r="F31" s="369">
        <f ca="1">H30+15</f>
        <v>72.5</v>
      </c>
      <c r="G31" s="447" cm="1">
        <f t="array" aca="1" ref="G31" ca="1">INDIRECT("'Worksheet'!$Y"&amp;$B29)</f>
        <v>0</v>
      </c>
      <c r="H31" s="447"/>
      <c r="I31" s="448"/>
      <c r="L31" s="164" t="s">
        <v>121</v>
      </c>
      <c r="M31">
        <f t="shared" ca="1" si="2"/>
        <v>101.25</v>
      </c>
      <c r="N31" s="19" t="s">
        <v>122</v>
      </c>
      <c r="O31" s="369">
        <f ca="1">F31</f>
        <v>72.5</v>
      </c>
      <c r="P31" s="449">
        <f ca="1">G31</f>
        <v>0</v>
      </c>
      <c r="Q31" s="449"/>
      <c r="R31" s="450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1.4000000000000001</v>
      </c>
      <c r="E32" s="42" t="s">
        <v>41</v>
      </c>
      <c r="F32" s="370"/>
      <c r="G32" s="447"/>
      <c r="H32" s="447"/>
      <c r="I32" s="448"/>
      <c r="L32" s="166"/>
      <c r="M32" s="161">
        <f t="shared" ca="1" si="2"/>
        <v>1.4000000000000001</v>
      </c>
      <c r="N32" s="42" t="s">
        <v>41</v>
      </c>
      <c r="O32" s="370"/>
      <c r="P32" s="449"/>
      <c r="Q32" s="451"/>
      <c r="R32" s="452"/>
    </row>
    <row r="33" spans="1:18" ht="15.75">
      <c r="C33" s="164" t="s">
        <v>135</v>
      </c>
      <c r="D33" s="19">
        <f ca="1">+IF(D37="yes",IF($D39="Left of Pair",($D34*$H37),IF($D39="Panel",$D34*$H37,IF($H39="SOR",$D34*$H37," ")))," ")</f>
        <v>99.2</v>
      </c>
      <c r="E33" s="19" t="s">
        <v>122</v>
      </c>
      <c r="F33" s="369">
        <f ca="1">IF(D37="YES",H30+12," ")</f>
        <v>69.5</v>
      </c>
      <c r="H33" s="343" t="s">
        <v>10</v>
      </c>
      <c r="I33" s="371" cm="1">
        <f t="array" aca="1" ref="I33" ca="1">INDIRECT("'Worksheet'!$Q"&amp;B29)</f>
        <v>1.4000000000000001</v>
      </c>
      <c r="L33" s="164" t="s">
        <v>135</v>
      </c>
      <c r="M33">
        <f t="shared" ca="1" si="2"/>
        <v>99.2</v>
      </c>
      <c r="N33" s="19" t="s">
        <v>122</v>
      </c>
      <c r="O33" s="369">
        <f ca="1">F33</f>
        <v>69.5</v>
      </c>
      <c r="P33" s="19"/>
      <c r="Q33" s="343" t="s">
        <v>10</v>
      </c>
      <c r="R33" s="160">
        <f ca="1">I33</f>
        <v>1.4000000000000001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1.6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40.5</v>
      </c>
      <c r="L34" s="167"/>
      <c r="M34" s="344">
        <f t="shared" ca="1" si="2"/>
        <v>1.6</v>
      </c>
      <c r="N34" s="345" t="s">
        <v>41</v>
      </c>
      <c r="O34" s="372"/>
      <c r="P34" s="20"/>
      <c r="Q34" s="343" t="s">
        <v>116</v>
      </c>
      <c r="R34" s="32">
        <f ca="1">I34</f>
        <v>40.5</v>
      </c>
    </row>
    <row r="35" spans="1:18" ht="12.75" customHeight="1">
      <c r="C35" s="168" t="s">
        <v>114</v>
      </c>
      <c r="D35" s="373" t="str" cm="1">
        <f t="array" aca="1" ref="D35" ca="1">INDIRECT("'Worksheet'!$B"&amp;$B29)</f>
        <v>Primary</v>
      </c>
      <c r="E35" s="22"/>
      <c r="F35" s="23"/>
      <c r="G35" s="22"/>
      <c r="H35" s="24"/>
      <c r="I35" s="444" t="str" cm="1">
        <f t="array" aca="1" ref="I35" ca="1">INDIRECT("'Worksheet'!$A"&amp;$B29)</f>
        <v>P1-3</v>
      </c>
      <c r="L35" s="168" t="s">
        <v>114</v>
      </c>
      <c r="M35" s="31" t="str">
        <f t="shared" ca="1" si="2"/>
        <v>Primary</v>
      </c>
      <c r="N35" s="20"/>
      <c r="O35" s="33"/>
      <c r="P35" s="27"/>
      <c r="Q35" s="24"/>
      <c r="R35" s="444" t="str">
        <f ca="1">I35</f>
        <v>P1-3</v>
      </c>
    </row>
    <row r="36" spans="1:18" ht="15.75" customHeight="1">
      <c r="C36" s="164" t="s">
        <v>117</v>
      </c>
      <c r="D36" s="346" cm="1">
        <f t="array" aca="1" ref="D36" ca="1">INDIRECT("'Worksheet'!$H"&amp;$B29)</f>
        <v>3.5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45"/>
      <c r="L36" s="164" t="s">
        <v>117</v>
      </c>
      <c r="M36" s="34">
        <f t="shared" ca="1" si="2"/>
        <v>3.5</v>
      </c>
      <c r="N36" s="20"/>
      <c r="O36" s="169" t="s">
        <v>118</v>
      </c>
      <c r="P36" s="35"/>
      <c r="Q36" s="36" t="str">
        <f>H36</f>
        <v>Yes</v>
      </c>
      <c r="R36" s="445"/>
    </row>
    <row r="37" spans="1:18" ht="15.75" customHeight="1">
      <c r="C37" s="164" t="s">
        <v>119</v>
      </c>
      <c r="D37" s="37" t="str">
        <f ca="1">IF($E37&gt;0,"YES"," ")</f>
        <v>YES</v>
      </c>
      <c r="E37" s="347" t="str" cm="1">
        <f t="array" aca="1" ref="E37" ca="1">INDIRECT("'Worksheet'!$X"&amp;$B29)</f>
        <v xml:space="preserve">Flameguard </v>
      </c>
      <c r="F37" s="39"/>
      <c r="G37" s="20"/>
      <c r="H37" s="391" cm="1">
        <f t="array" aca="1" ref="H37" ca="1">INDIRECT("'Worksheet'!$R"&amp;$B29)</f>
        <v>62</v>
      </c>
      <c r="I37" s="445"/>
      <c r="J37" s="40"/>
      <c r="L37" s="164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2">
        <f ca="1">H37</f>
        <v>62</v>
      </c>
      <c r="R37" s="445"/>
    </row>
    <row r="38" spans="1:18" ht="15.75" customHeight="1">
      <c r="C38" s="164" t="s">
        <v>13</v>
      </c>
      <c r="D38" s="347" t="str" cm="1">
        <f t="array" aca="1" ref="D38" ca="1">INDIRECT("'Worksheet'!$W"&amp;$B29)</f>
        <v>5th Avenue 72</v>
      </c>
      <c r="E38" s="22"/>
      <c r="F38" s="23"/>
      <c r="G38" s="22"/>
      <c r="H38" s="391" cm="1">
        <f t="array" aca="1" ref="H38" ca="1">INDIRECT("'Worksheet'!$P"&amp;$B29)</f>
        <v>74</v>
      </c>
      <c r="I38" s="446"/>
      <c r="L38" s="164" t="s">
        <v>13</v>
      </c>
      <c r="M38" s="21" t="str">
        <f t="shared" ca="1" si="2"/>
        <v>5th Avenue 72</v>
      </c>
      <c r="N38" s="22"/>
      <c r="O38" s="23"/>
      <c r="P38" s="22"/>
      <c r="Q38" s="392">
        <f ca="1">H38</f>
        <v>74</v>
      </c>
      <c r="R38" s="446"/>
    </row>
    <row r="39" spans="1:18" ht="20.25" customHeight="1">
      <c r="C39" s="348" t="str" cm="1">
        <f t="array" aca="1" ref="C39" ca="1">INDIRECT("'Worksheet'!$J"&amp;$B29)</f>
        <v>dead</v>
      </c>
      <c r="D39" s="443" t="str" cm="1">
        <f t="array" aca="1" ref="D39" ca="1">IF(INDIRECT("'Worksheet'!$D"&amp;$B29)=1, "Left of Pair", IF(INDIRECT("'Worksheet'!$E"&amp;$B29)=1, "Panel"))</f>
        <v>Panel</v>
      </c>
      <c r="E39" s="443"/>
      <c r="F39" s="443"/>
      <c r="G39" s="374"/>
      <c r="H39" s="374" t="str" cm="1">
        <f t="array" aca="1" ref="H39" ca="1">IF(INDIRECT("'Worksheet'!$F"&amp;$B29)="st","SOR T&amp;B"," ")</f>
        <v xml:space="preserve"> </v>
      </c>
      <c r="I39" s="375"/>
      <c r="L39" s="41" t="str">
        <f ca="1">$C39</f>
        <v>dead</v>
      </c>
      <c r="M39" s="443" t="str" cm="1">
        <f t="array" aca="1" ref="M39" ca="1">IF(INDIRECT("'Worksheet'!$D"&amp;$B29)=1, "Right of Pair", IF(INDIRECT("'Worksheet'!$E"&amp;$B29)=1, "Do Not Use"))</f>
        <v>Do Not Use</v>
      </c>
      <c r="N39" s="443"/>
      <c r="O39" s="443"/>
      <c r="P39" s="374"/>
      <c r="Q39" s="374"/>
      <c r="R39" s="375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+Worksheet!$W$4</f>
        <v>Gregory Mill WO#C5364027-00086.01</v>
      </c>
      <c r="E43" s="22"/>
      <c r="F43" s="23"/>
      <c r="G43" s="22"/>
      <c r="H43" s="24"/>
      <c r="I43" s="25">
        <f>+Worksheet!$AR$1</f>
        <v>33517</v>
      </c>
      <c r="J43" s="26"/>
      <c r="L43" s="164" t="s">
        <v>113</v>
      </c>
      <c r="M43" s="21" t="str">
        <f>+Worksheet!$W$4</f>
        <v>Gregory Mill WO#C5364027-00086.01</v>
      </c>
      <c r="N43" s="22"/>
      <c r="O43" s="23"/>
      <c r="P43" s="22"/>
      <c r="Q43" s="24"/>
      <c r="R43" s="25">
        <f>+Worksheet!$AR$1</f>
        <v>33517</v>
      </c>
    </row>
    <row r="44" spans="1:18" ht="32.25">
      <c r="C44" s="165" t="s">
        <v>128</v>
      </c>
      <c r="D44" s="150" cm="1">
        <f t="array" aca="1" ref="D44" ca="1">INDIRECT("'Worksheet'!$K"&amp;$B43)</f>
        <v>34</v>
      </c>
      <c r="E44" s="151" t="s">
        <v>115</v>
      </c>
      <c r="F44" s="150" cm="1">
        <f t="array" aca="1" ref="F44" ca="1">INDIRECT("'Worksheet'!$M"&amp;$B43)</f>
        <v>6.5</v>
      </c>
      <c r="G44" s="151" t="s">
        <v>122</v>
      </c>
      <c r="H44" s="150" cm="1">
        <f t="array" aca="1" ref="H44" ca="1">INDIRECT("'Worksheet'!$O"&amp;$B43)</f>
        <v>57.5</v>
      </c>
      <c r="I44" s="29" t="str">
        <f>+IF(Worksheet!$R$34=1,"Install",IF(Worksheet!$R$34=2,"Ship",IF(Worksheet!$R$34=3,"Deliver",IF(Worksheet!$R$34=4,"Will Call"))))</f>
        <v>Ship</v>
      </c>
      <c r="J44" s="30"/>
      <c r="L44" s="165" t="s">
        <v>128</v>
      </c>
      <c r="M44" s="150">
        <f t="shared" ref="M44:M52" ca="1" si="3">D44</f>
        <v>34</v>
      </c>
      <c r="N44" s="151" t="s">
        <v>115</v>
      </c>
      <c r="O44" s="152">
        <f ca="1">F44</f>
        <v>6.5</v>
      </c>
      <c r="P44" s="151" t="s">
        <v>122</v>
      </c>
      <c r="Q44" s="153">
        <f ca="1">H44</f>
        <v>57.5</v>
      </c>
      <c r="R44" s="29" t="str">
        <f>+IF(Worksheet!$R$34=1,"Install",IF(Worksheet!$R$34=2,"Ship",IF(Worksheet!$R$34=3,"Deliver",IF(Worksheet!$R$34=4,"Will Call"))))</f>
        <v>Ship</v>
      </c>
    </row>
    <row r="45" spans="1:18" ht="12.75" customHeight="1">
      <c r="C45" s="164" t="s">
        <v>121</v>
      </c>
      <c r="D45" s="19">
        <f ca="1">+IF($D53="Left of Pair",((D44+F44)*Worksheet!$AE$7)/2,IF($D53="Panel",(D44+F44)*Worksheet!$AE$7,IF($H53="SOR",D44*2.5+6,IF($H53="SOR T&amp;B",D44*2.5+6))))</f>
        <v>101.25</v>
      </c>
      <c r="E45" s="19" t="s">
        <v>122</v>
      </c>
      <c r="F45" s="369">
        <f ca="1">H44+15</f>
        <v>72.5</v>
      </c>
      <c r="G45" s="447" cm="1">
        <f t="array" aca="1" ref="G45" ca="1">INDIRECT("'Worksheet'!$Y"&amp;$B43)</f>
        <v>0</v>
      </c>
      <c r="H45" s="447"/>
      <c r="I45" s="448"/>
      <c r="L45" s="164" t="s">
        <v>121</v>
      </c>
      <c r="M45">
        <f t="shared" ca="1" si="3"/>
        <v>101.25</v>
      </c>
      <c r="N45" s="19" t="s">
        <v>122</v>
      </c>
      <c r="O45" s="369">
        <f ca="1">F45</f>
        <v>72.5</v>
      </c>
      <c r="P45" s="449">
        <f ca="1">G45</f>
        <v>0</v>
      </c>
      <c r="Q45" s="449"/>
      <c r="R45" s="450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1.4000000000000001</v>
      </c>
      <c r="E46" s="42" t="s">
        <v>41</v>
      </c>
      <c r="F46" s="370"/>
      <c r="G46" s="447"/>
      <c r="H46" s="447"/>
      <c r="I46" s="448"/>
      <c r="L46" s="166"/>
      <c r="M46" s="161">
        <f t="shared" ca="1" si="3"/>
        <v>1.4000000000000001</v>
      </c>
      <c r="N46" s="42" t="s">
        <v>41</v>
      </c>
      <c r="O46" s="370"/>
      <c r="P46" s="449"/>
      <c r="Q46" s="451"/>
      <c r="R46" s="452"/>
    </row>
    <row r="47" spans="1:18" ht="15.75">
      <c r="C47" s="164" t="s">
        <v>135</v>
      </c>
      <c r="D47" s="19">
        <f ca="1">+IF(D51="yes",IF($D53="Left of Pair",($D48*$H51),IF($D53="Panel",$D48*$H51,IF($H53="SOR",$D48*$H51," ")))," ")</f>
        <v>99.2</v>
      </c>
      <c r="E47" s="19" t="s">
        <v>122</v>
      </c>
      <c r="F47" s="369">
        <f ca="1">IF(D51="YES",H44+12," ")</f>
        <v>69.5</v>
      </c>
      <c r="H47" s="343" t="s">
        <v>10</v>
      </c>
      <c r="I47" s="371" cm="1">
        <f t="array" aca="1" ref="I47" ca="1">INDIRECT("'Worksheet'!$Q"&amp;B43)</f>
        <v>1.4000000000000001</v>
      </c>
      <c r="L47" s="164" t="s">
        <v>135</v>
      </c>
      <c r="M47">
        <f t="shared" ca="1" si="3"/>
        <v>99.2</v>
      </c>
      <c r="N47" s="19" t="s">
        <v>122</v>
      </c>
      <c r="O47" s="369">
        <f ca="1">F47</f>
        <v>69.5</v>
      </c>
      <c r="P47" s="19"/>
      <c r="Q47" s="343" t="s">
        <v>10</v>
      </c>
      <c r="R47" s="160">
        <f ca="1">I47</f>
        <v>1.4000000000000001</v>
      </c>
    </row>
    <row r="48" spans="1:18">
      <c r="C48" s="167"/>
      <c r="D48" s="161" cm="1">
        <f t="array" aca="1" ref="D48" ca="1">IF(D51="yes",IF($D53="Left of Pair",INDIRECT("'Worksheet'!$S"&amp;$B43)/2,IF($D53="Panel",INDIRECT("'Worksheet'!$S"&amp;$B43)))," ")</f>
        <v>1.6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40.5</v>
      </c>
      <c r="L48" s="167"/>
      <c r="M48" s="344">
        <f t="shared" ca="1" si="3"/>
        <v>1.6</v>
      </c>
      <c r="N48" s="345" t="s">
        <v>41</v>
      </c>
      <c r="O48" s="372"/>
      <c r="P48" s="20"/>
      <c r="Q48" s="343" t="s">
        <v>116</v>
      </c>
      <c r="R48" s="32">
        <f ca="1">I48</f>
        <v>40.5</v>
      </c>
    </row>
    <row r="49" spans="1:18" ht="12.75" customHeight="1">
      <c r="C49" s="168" t="s">
        <v>114</v>
      </c>
      <c r="D49" s="373" t="str" cm="1">
        <f t="array" aca="1" ref="D49" ca="1">INDIRECT("'Worksheet'!$B"&amp;$B43)</f>
        <v>Primary</v>
      </c>
      <c r="E49" s="22"/>
      <c r="F49" s="23"/>
      <c r="G49" s="22"/>
      <c r="H49" s="24"/>
      <c r="I49" s="444" t="str" cm="1">
        <f t="array" aca="1" ref="I49" ca="1">INDIRECT("'Worksheet'!$A"&amp;$B43)</f>
        <v>P1-4</v>
      </c>
      <c r="L49" s="168" t="s">
        <v>114</v>
      </c>
      <c r="M49" s="31" t="str">
        <f t="shared" ca="1" si="3"/>
        <v>Primary</v>
      </c>
      <c r="N49" s="20"/>
      <c r="O49" s="33"/>
      <c r="P49" s="27"/>
      <c r="Q49" s="24"/>
      <c r="R49" s="444" t="str">
        <f ca="1">I49</f>
        <v>P1-4</v>
      </c>
    </row>
    <row r="50" spans="1:18" ht="15.75" customHeight="1">
      <c r="C50" s="164" t="s">
        <v>117</v>
      </c>
      <c r="D50" s="346" cm="1">
        <f t="array" aca="1" ref="D50" ca="1">INDIRECT("'Worksheet'!$H"&amp;$B43)</f>
        <v>3.5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45"/>
      <c r="L50" s="164" t="s">
        <v>117</v>
      </c>
      <c r="M50" s="34">
        <f t="shared" ca="1" si="3"/>
        <v>3.5</v>
      </c>
      <c r="N50" s="20"/>
      <c r="O50" s="169" t="s">
        <v>118</v>
      </c>
      <c r="P50" s="35"/>
      <c r="Q50" s="36" t="str">
        <f>H50</f>
        <v>Yes</v>
      </c>
      <c r="R50" s="445"/>
    </row>
    <row r="51" spans="1:18" ht="15.75" customHeight="1">
      <c r="C51" s="164" t="s">
        <v>119</v>
      </c>
      <c r="D51" s="37" t="str">
        <f ca="1">IF($E51&gt;0,"YES"," ")</f>
        <v>YES</v>
      </c>
      <c r="E51" s="347" t="str" cm="1">
        <f t="array" aca="1" ref="E51" ca="1">INDIRECT("'Worksheet'!$X"&amp;$B43)</f>
        <v xml:space="preserve">Flameguard </v>
      </c>
      <c r="F51" s="39"/>
      <c r="G51" s="20"/>
      <c r="H51" s="391" cm="1">
        <f t="array" aca="1" ref="H51" ca="1">INDIRECT("'Worksheet'!$R"&amp;$B43)</f>
        <v>62</v>
      </c>
      <c r="I51" s="445"/>
      <c r="J51" s="40"/>
      <c r="L51" s="164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2">
        <f ca="1">H51</f>
        <v>62</v>
      </c>
      <c r="R51" s="445"/>
    </row>
    <row r="52" spans="1:18" ht="15.75" customHeight="1">
      <c r="C52" s="164" t="s">
        <v>13</v>
      </c>
      <c r="D52" s="347" t="str" cm="1">
        <f t="array" aca="1" ref="D52" ca="1">INDIRECT("'Worksheet'!$W"&amp;$B43)</f>
        <v>5th Avenue 72</v>
      </c>
      <c r="E52" s="22"/>
      <c r="F52" s="23"/>
      <c r="G52" s="22"/>
      <c r="H52" s="391" cm="1">
        <f t="array" aca="1" ref="H52" ca="1">INDIRECT("'Worksheet'!$P"&amp;$B43)</f>
        <v>74</v>
      </c>
      <c r="I52" s="446"/>
      <c r="L52" s="164" t="s">
        <v>13</v>
      </c>
      <c r="M52" s="21" t="str">
        <f t="shared" ca="1" si="3"/>
        <v>5th Avenue 72</v>
      </c>
      <c r="N52" s="22"/>
      <c r="O52" s="23"/>
      <c r="P52" s="22"/>
      <c r="Q52" s="392">
        <f ca="1">H52</f>
        <v>74</v>
      </c>
      <c r="R52" s="446"/>
    </row>
    <row r="53" spans="1:18" ht="23.25">
      <c r="C53" s="348" t="str" cm="1">
        <f t="array" aca="1" ref="C53" ca="1">INDIRECT("'Worksheet'!$J"&amp;$B43)</f>
        <v>dead</v>
      </c>
      <c r="D53" s="443" t="str" cm="1">
        <f t="array" aca="1" ref="D53" ca="1">IF(INDIRECT("'Worksheet'!$D"&amp;$B43)=1, "Left of Pair", IF(INDIRECT("'Worksheet'!$E"&amp;$B43)=1, "Panel"))</f>
        <v>Panel</v>
      </c>
      <c r="E53" s="443"/>
      <c r="F53" s="443"/>
      <c r="G53" s="374"/>
      <c r="H53" s="374" t="str" cm="1">
        <f t="array" aca="1" ref="H53" ca="1">IF(INDIRECT("'Worksheet'!$F"&amp;$B43)="st","SOR T&amp;B"," ")</f>
        <v xml:space="preserve"> </v>
      </c>
      <c r="I53" s="375"/>
      <c r="L53" s="41" t="str">
        <f ca="1">$C53</f>
        <v>dead</v>
      </c>
      <c r="M53" s="443" t="str" cm="1">
        <f t="array" aca="1" ref="M53" ca="1">IF(INDIRECT("'Worksheet'!$D"&amp;$B43)=1, "Right of Pair", IF(INDIRECT("'Worksheet'!$E"&amp;$B43)=1, "Do Not Use"))</f>
        <v>Do Not Use</v>
      </c>
      <c r="N53" s="443"/>
      <c r="O53" s="443"/>
      <c r="P53" s="374"/>
      <c r="Q53" s="374"/>
      <c r="R53" s="375"/>
    </row>
    <row r="55" spans="1:18" ht="19.5">
      <c r="A55" t="s">
        <v>28</v>
      </c>
      <c r="B55">
        <v>15</v>
      </c>
      <c r="C55" s="164" t="s">
        <v>113</v>
      </c>
      <c r="D55" s="21" t="str">
        <f>+Worksheet!$W$4</f>
        <v>Gregory Mill WO#C5364027-00086.01</v>
      </c>
      <c r="E55" s="22"/>
      <c r="F55" s="23"/>
      <c r="G55" s="22"/>
      <c r="H55" s="24"/>
      <c r="I55" s="25">
        <f>+Worksheet!$AR$1</f>
        <v>33517</v>
      </c>
      <c r="J55" s="26"/>
      <c r="L55" s="164" t="s">
        <v>113</v>
      </c>
      <c r="M55" s="21" t="str">
        <f>+Worksheet!$W$4</f>
        <v>Gregory Mill WO#C5364027-00086.01</v>
      </c>
      <c r="N55" s="22"/>
      <c r="O55" s="23"/>
      <c r="P55" s="22"/>
      <c r="Q55" s="24"/>
      <c r="R55" s="25">
        <f>+Worksheet!$AR$1</f>
        <v>33517</v>
      </c>
    </row>
    <row r="56" spans="1:18" ht="32.25">
      <c r="C56" s="165" t="s">
        <v>128</v>
      </c>
      <c r="D56" s="150" cm="1">
        <f t="array" aca="1" ref="D56" ca="1">INDIRECT("'Worksheet'!$K"&amp;$B55)</f>
        <v>34</v>
      </c>
      <c r="E56" s="151" t="s">
        <v>115</v>
      </c>
      <c r="F56" s="150" cm="1">
        <f t="array" aca="1" ref="F56" ca="1">INDIRECT("'Worksheet'!$M"&amp;$B55)</f>
        <v>6.5</v>
      </c>
      <c r="G56" s="151" t="s">
        <v>122</v>
      </c>
      <c r="H56" s="150" cm="1">
        <f t="array" aca="1" ref="H56" ca="1">INDIRECT("'Worksheet'!$O"&amp;$B55)</f>
        <v>57.5</v>
      </c>
      <c r="I56" s="29" t="str">
        <f>+IF(Worksheet!$R$34=1,"Install",IF(Worksheet!$R$34=2,"Ship",IF(Worksheet!$R$34=3,"Deliver",IF(Worksheet!$R$34=4,"Will Call"))))</f>
        <v>Ship</v>
      </c>
      <c r="J56" s="30"/>
      <c r="L56" s="165" t="s">
        <v>128</v>
      </c>
      <c r="M56" s="150">
        <f t="shared" ref="M56:M64" ca="1" si="4">D56</f>
        <v>34</v>
      </c>
      <c r="N56" s="151" t="s">
        <v>115</v>
      </c>
      <c r="O56" s="152">
        <f ca="1">F56</f>
        <v>6.5</v>
      </c>
      <c r="P56" s="151" t="s">
        <v>122</v>
      </c>
      <c r="Q56" s="153">
        <f ca="1">H56</f>
        <v>57.5</v>
      </c>
      <c r="R56" s="29" t="str">
        <f>+IF(Worksheet!$R$34=1,"Install",IF(Worksheet!$R$34=2,"Ship",IF(Worksheet!$R$34=3,"Deliver",IF(Worksheet!$R$34=4,"Will Call"))))</f>
        <v>Ship</v>
      </c>
    </row>
    <row r="57" spans="1:18" ht="12.75" customHeight="1">
      <c r="C57" s="164" t="s">
        <v>121</v>
      </c>
      <c r="D57" s="19">
        <f ca="1">+IF($D65="Left of Pair",((D56+F56)*Worksheet!$AE$7)/2,IF($D65="Panel",(D56+F56)*Worksheet!$AE$7,IF($H65="SOR",D56*2.5+6,IF($H65="SOR T&amp;B",D56*2.5+6))))</f>
        <v>101.25</v>
      </c>
      <c r="E57" s="19" t="s">
        <v>122</v>
      </c>
      <c r="F57" s="369">
        <f ca="1">H56+15</f>
        <v>72.5</v>
      </c>
      <c r="G57" s="447" cm="1">
        <f t="array" aca="1" ref="G57" ca="1">INDIRECT("'Worksheet'!$Y"&amp;$B55)</f>
        <v>0</v>
      </c>
      <c r="H57" s="447"/>
      <c r="I57" s="448"/>
      <c r="L57" s="164" t="s">
        <v>121</v>
      </c>
      <c r="M57">
        <f t="shared" ca="1" si="4"/>
        <v>101.25</v>
      </c>
      <c r="N57" s="19" t="s">
        <v>122</v>
      </c>
      <c r="O57" s="369">
        <f ca="1">F57</f>
        <v>72.5</v>
      </c>
      <c r="P57" s="449">
        <f ca="1">G57</f>
        <v>0</v>
      </c>
      <c r="Q57" s="449"/>
      <c r="R57" s="450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1.4000000000000001</v>
      </c>
      <c r="E58" s="42" t="s">
        <v>41</v>
      </c>
      <c r="F58" s="370"/>
      <c r="G58" s="447"/>
      <c r="H58" s="447"/>
      <c r="I58" s="448"/>
      <c r="L58" s="166"/>
      <c r="M58" s="161">
        <f t="shared" ca="1" si="4"/>
        <v>1.4000000000000001</v>
      </c>
      <c r="N58" s="42" t="s">
        <v>41</v>
      </c>
      <c r="O58" s="370"/>
      <c r="P58" s="449"/>
      <c r="Q58" s="451"/>
      <c r="R58" s="452"/>
    </row>
    <row r="59" spans="1:18" ht="15.75">
      <c r="C59" s="164" t="s">
        <v>135</v>
      </c>
      <c r="D59" s="19">
        <f ca="1">+IF(D63="yes",IF($D65="Left of Pair",($D60*$H63),IF($D65="Panel",$D60*$H63,IF($H65="SOR",$D60*$H63," ")))," ")</f>
        <v>99.2</v>
      </c>
      <c r="E59" s="19" t="s">
        <v>122</v>
      </c>
      <c r="F59" s="369">
        <f ca="1">IF(D63="YES",H56+12," ")</f>
        <v>69.5</v>
      </c>
      <c r="H59" s="343" t="s">
        <v>10</v>
      </c>
      <c r="I59" s="371" cm="1">
        <f t="array" aca="1" ref="I59" ca="1">INDIRECT("'Worksheet'!$Q"&amp;B55)</f>
        <v>1.4000000000000001</v>
      </c>
      <c r="L59" s="164" t="s">
        <v>135</v>
      </c>
      <c r="M59">
        <f t="shared" ca="1" si="4"/>
        <v>99.2</v>
      </c>
      <c r="N59" s="19" t="s">
        <v>122</v>
      </c>
      <c r="O59" s="369">
        <f ca="1">F59</f>
        <v>69.5</v>
      </c>
      <c r="P59" s="19"/>
      <c r="Q59" s="343" t="s">
        <v>10</v>
      </c>
      <c r="R59" s="160">
        <f ca="1">I59</f>
        <v>1.4000000000000001</v>
      </c>
    </row>
    <row r="60" spans="1:18">
      <c r="C60" s="167"/>
      <c r="D60" s="161" cm="1">
        <f t="array" aca="1" ref="D60" ca="1">IF(D63="yes",IF($D65="Left of Pair",INDIRECT("'Worksheet'!$S"&amp;$B55)/2,IF($D65="Panel",INDIRECT("'Worksheet'!$S"&amp;$B55)))," ")</f>
        <v>1.6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40.5</v>
      </c>
      <c r="L60" s="167"/>
      <c r="M60" s="344">
        <f t="shared" ca="1" si="4"/>
        <v>1.6</v>
      </c>
      <c r="N60" s="345" t="s">
        <v>41</v>
      </c>
      <c r="O60" s="372"/>
      <c r="P60" s="20"/>
      <c r="Q60" s="343" t="s">
        <v>116</v>
      </c>
      <c r="R60" s="32">
        <f ca="1">I60</f>
        <v>40.5</v>
      </c>
    </row>
    <row r="61" spans="1:18" ht="12.75" customHeight="1">
      <c r="C61" s="168" t="s">
        <v>114</v>
      </c>
      <c r="D61" s="373" t="str" cm="1">
        <f t="array" aca="1" ref="D61" ca="1">INDIRECT("'Worksheet'!$B"&amp;$B55)</f>
        <v>RS</v>
      </c>
      <c r="E61" s="22"/>
      <c r="F61" s="23"/>
      <c r="G61" s="22"/>
      <c r="H61" s="24"/>
      <c r="I61" s="444" t="str" cm="1">
        <f t="array" aca="1" ref="I61" ca="1">INDIRECT("'Worksheet'!$A"&amp;$B55)</f>
        <v>P1-5</v>
      </c>
      <c r="L61" s="168" t="s">
        <v>114</v>
      </c>
      <c r="M61" s="31" t="str">
        <f t="shared" ca="1" si="4"/>
        <v>RS</v>
      </c>
      <c r="N61" s="20"/>
      <c r="O61" s="33"/>
      <c r="P61" s="27"/>
      <c r="Q61" s="24"/>
      <c r="R61" s="444" t="str">
        <f ca="1">I61</f>
        <v>P1-5</v>
      </c>
    </row>
    <row r="62" spans="1:18" ht="15.75" customHeight="1">
      <c r="C62" s="164" t="s">
        <v>117</v>
      </c>
      <c r="D62" s="346" cm="1">
        <f t="array" aca="1" ref="D62" ca="1">INDIRECT("'Worksheet'!$H"&amp;$B55)</f>
        <v>3.5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45"/>
      <c r="L62" s="164" t="s">
        <v>117</v>
      </c>
      <c r="M62" s="34">
        <f t="shared" ca="1" si="4"/>
        <v>3.5</v>
      </c>
      <c r="N62" s="20"/>
      <c r="O62" s="169" t="s">
        <v>118</v>
      </c>
      <c r="P62" s="35"/>
      <c r="Q62" s="36" t="str">
        <f>H62</f>
        <v>Yes</v>
      </c>
      <c r="R62" s="445"/>
    </row>
    <row r="63" spans="1:18" ht="15.75" customHeight="1">
      <c r="C63" s="164" t="s">
        <v>119</v>
      </c>
      <c r="D63" s="37" t="str">
        <f ca="1">IF($E63&gt;0,"YES"," ")</f>
        <v>YES</v>
      </c>
      <c r="E63" s="347" t="str" cm="1">
        <f t="array" aca="1" ref="E63" ca="1">INDIRECT("'Worksheet'!$X"&amp;$B55)</f>
        <v xml:space="preserve">Flameguard </v>
      </c>
      <c r="F63" s="39"/>
      <c r="G63" s="20"/>
      <c r="H63" s="391" cm="1">
        <f t="array" aca="1" ref="H63" ca="1">INDIRECT("'Worksheet'!$R"&amp;$B55)</f>
        <v>62</v>
      </c>
      <c r="I63" s="445"/>
      <c r="J63" s="40"/>
      <c r="L63" s="164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2">
        <f ca="1">H63</f>
        <v>62</v>
      </c>
      <c r="R63" s="445"/>
    </row>
    <row r="64" spans="1:18" ht="15.75" customHeight="1">
      <c r="C64" s="164" t="s">
        <v>13</v>
      </c>
      <c r="D64" s="347" t="str" cm="1">
        <f t="array" aca="1" ref="D64" ca="1">INDIRECT("'Worksheet'!$W"&amp;$B55)</f>
        <v>5th Avenue 72</v>
      </c>
      <c r="E64" s="22"/>
      <c r="F64" s="23"/>
      <c r="G64" s="22"/>
      <c r="H64" s="391" cm="1">
        <f t="array" aca="1" ref="H64" ca="1">INDIRECT("'Worksheet'!$P"&amp;$B55)</f>
        <v>74</v>
      </c>
      <c r="I64" s="446"/>
      <c r="L64" s="164" t="s">
        <v>13</v>
      </c>
      <c r="M64" s="21" t="str">
        <f t="shared" ca="1" si="4"/>
        <v>5th Avenue 72</v>
      </c>
      <c r="N64" s="22"/>
      <c r="O64" s="23"/>
      <c r="P64" s="22"/>
      <c r="Q64" s="392">
        <f ca="1">H64</f>
        <v>74</v>
      </c>
      <c r="R64" s="446"/>
    </row>
    <row r="65" spans="1:18" ht="23.25">
      <c r="C65" s="348" t="str" cm="1">
        <f t="array" aca="1" ref="C65" ca="1">INDIRECT("'Worksheet'!$J"&amp;$B55)</f>
        <v>dead</v>
      </c>
      <c r="D65" s="443" t="str" cm="1">
        <f t="array" aca="1" ref="D65" ca="1">IF(INDIRECT("'Worksheet'!$D"&amp;$B55)=1, "Left of Pair", IF(INDIRECT("'Worksheet'!$E"&amp;$B55)=1, "Panel"))</f>
        <v>Panel</v>
      </c>
      <c r="E65" s="443"/>
      <c r="F65" s="443"/>
      <c r="G65" s="374"/>
      <c r="H65" s="374" t="str" cm="1">
        <f t="array" aca="1" ref="H65" ca="1">IF(INDIRECT("'Worksheet'!$F"&amp;$B55)="st","SOR T&amp;B"," ")</f>
        <v xml:space="preserve"> </v>
      </c>
      <c r="I65" s="375"/>
      <c r="L65" s="41" t="str">
        <f ca="1">$C65</f>
        <v>dead</v>
      </c>
      <c r="M65" s="443" t="str" cm="1">
        <f t="array" aca="1" ref="M65" ca="1">IF(INDIRECT("'Worksheet'!$D"&amp;$B55)=1, "Right of Pair", IF(INDIRECT("'Worksheet'!$E"&amp;$B55)=1, "Do Not Use"))</f>
        <v>Do Not Use</v>
      </c>
      <c r="N65" s="443"/>
      <c r="O65" s="443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+Worksheet!$W$4</f>
        <v>Gregory Mill WO#C5364027-00086.01</v>
      </c>
      <c r="E69" s="22"/>
      <c r="F69" s="23"/>
      <c r="G69" s="22"/>
      <c r="H69" s="24"/>
      <c r="I69" s="25">
        <f>+Worksheet!$AR$1</f>
        <v>33517</v>
      </c>
      <c r="J69" s="26"/>
      <c r="L69" s="164" t="s">
        <v>113</v>
      </c>
      <c r="M69" s="21" t="str">
        <f>+Worksheet!$W$4</f>
        <v>Gregory Mill WO#C5364027-00086.01</v>
      </c>
      <c r="N69" s="22"/>
      <c r="O69" s="23"/>
      <c r="P69" s="22"/>
      <c r="Q69" s="24"/>
      <c r="R69" s="25">
        <f>+Worksheet!$AR$1</f>
        <v>33517</v>
      </c>
    </row>
    <row r="70" spans="1:18" ht="32.25">
      <c r="C70" s="165" t="s">
        <v>128</v>
      </c>
      <c r="D70" s="150" cm="1">
        <f t="array" aca="1" ref="D70" ca="1">INDIRECT("'Worksheet'!$K"&amp;$B69)</f>
        <v>34</v>
      </c>
      <c r="E70" s="151" t="s">
        <v>115</v>
      </c>
      <c r="F70" s="150" cm="1">
        <f t="array" aca="1" ref="F70" ca="1">INDIRECT("'Worksheet'!$M"&amp;$B69)</f>
        <v>6.5</v>
      </c>
      <c r="G70" s="151" t="s">
        <v>122</v>
      </c>
      <c r="H70" s="150" cm="1">
        <f t="array" aca="1" ref="H70" ca="1">INDIRECT("'Worksheet'!$O"&amp;$B69)</f>
        <v>57.5</v>
      </c>
      <c r="I70" s="29" t="str">
        <f>+IF(Worksheet!$R$34=1,"Install",IF(Worksheet!$R$34=2,"Ship",IF(Worksheet!$R$34=3,"Deliver",IF(Worksheet!$R$34=4,"Will Call"))))</f>
        <v>Ship</v>
      </c>
      <c r="J70" s="30"/>
      <c r="L70" s="165" t="s">
        <v>128</v>
      </c>
      <c r="M70" s="150">
        <f t="shared" ref="M70:M78" ca="1" si="5">D70</f>
        <v>34</v>
      </c>
      <c r="N70" s="151" t="s">
        <v>115</v>
      </c>
      <c r="O70" s="152">
        <f ca="1">F70</f>
        <v>6.5</v>
      </c>
      <c r="P70" s="151" t="s">
        <v>122</v>
      </c>
      <c r="Q70" s="153">
        <f ca="1">H70</f>
        <v>57.5</v>
      </c>
      <c r="R70" s="29" t="str">
        <f>+IF(Worksheet!$R$34=1,"Install",IF(Worksheet!$R$34=2,"Ship",IF(Worksheet!$R$34=3,"Deliver",IF(Worksheet!$R$34=4,"Will Call"))))</f>
        <v>Ship</v>
      </c>
    </row>
    <row r="71" spans="1:18" ht="12.75" customHeight="1">
      <c r="C71" s="164" t="s">
        <v>121</v>
      </c>
      <c r="D71" s="19">
        <f ca="1">+IF($D79="Left of Pair",((D70+F70)*Worksheet!$AE$7)/2,IF($D79="Panel",(D70+F70)*Worksheet!$AE$7,IF($H79="SOR",D70*2.5+6,IF($H79="SOR T&amp;B",D70*2.5+6))))</f>
        <v>101.25</v>
      </c>
      <c r="E71" s="19" t="s">
        <v>122</v>
      </c>
      <c r="F71" s="369">
        <f ca="1">H70+15</f>
        <v>72.5</v>
      </c>
      <c r="G71" s="447" cm="1">
        <f t="array" aca="1" ref="G71" ca="1">INDIRECT("'Worksheet'!$Y"&amp;$B69)</f>
        <v>0</v>
      </c>
      <c r="H71" s="447"/>
      <c r="I71" s="448"/>
      <c r="L71" s="164" t="s">
        <v>121</v>
      </c>
      <c r="M71">
        <f t="shared" ca="1" si="5"/>
        <v>101.25</v>
      </c>
      <c r="N71" s="19" t="s">
        <v>122</v>
      </c>
      <c r="O71" s="369">
        <f ca="1">F71</f>
        <v>72.5</v>
      </c>
      <c r="P71" s="449">
        <f ca="1">G71</f>
        <v>0</v>
      </c>
      <c r="Q71" s="449"/>
      <c r="R71" s="450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1.4000000000000001</v>
      </c>
      <c r="E72" s="42" t="s">
        <v>41</v>
      </c>
      <c r="F72" s="370"/>
      <c r="G72" s="447"/>
      <c r="H72" s="447"/>
      <c r="I72" s="448"/>
      <c r="L72" s="166"/>
      <c r="M72" s="161">
        <f t="shared" ca="1" si="5"/>
        <v>1.4000000000000001</v>
      </c>
      <c r="N72" s="42" t="s">
        <v>41</v>
      </c>
      <c r="O72" s="370"/>
      <c r="P72" s="449"/>
      <c r="Q72" s="451"/>
      <c r="R72" s="452"/>
    </row>
    <row r="73" spans="1:18" ht="15.75">
      <c r="C73" s="164" t="s">
        <v>135</v>
      </c>
      <c r="D73" s="19">
        <f ca="1">+IF(D77="yes",IF($D79="Left of Pair",($D74*$H77),IF($D79="Panel",$D74*$H77,IF($H79="SOR",$D74*$H77," ")))," ")</f>
        <v>99.2</v>
      </c>
      <c r="E73" s="19" t="s">
        <v>122</v>
      </c>
      <c r="F73" s="369">
        <f ca="1">IF(D77="YES",H70+12," ")</f>
        <v>69.5</v>
      </c>
      <c r="H73" s="343" t="s">
        <v>10</v>
      </c>
      <c r="I73" s="371" cm="1">
        <f t="array" aca="1" ref="I73" ca="1">INDIRECT("'Worksheet'!$Q"&amp;B69)</f>
        <v>1.4000000000000001</v>
      </c>
      <c r="L73" s="164" t="s">
        <v>135</v>
      </c>
      <c r="M73">
        <f t="shared" ca="1" si="5"/>
        <v>99.2</v>
      </c>
      <c r="N73" s="19" t="s">
        <v>122</v>
      </c>
      <c r="O73" s="369">
        <f ca="1">F73</f>
        <v>69.5</v>
      </c>
      <c r="P73" s="19"/>
      <c r="Q73" s="343" t="s">
        <v>10</v>
      </c>
      <c r="R73" s="160">
        <f ca="1">I73</f>
        <v>1.4000000000000001</v>
      </c>
    </row>
    <row r="74" spans="1:18">
      <c r="C74" s="167"/>
      <c r="D74" s="161" cm="1">
        <f t="array" aca="1" ref="D74" ca="1">IF(D77="yes",IF($D79="Left of Pair",INDIRECT("'Worksheet'!$S"&amp;$B69)/2,IF($D79="Panel",INDIRECT("'Worksheet'!$S"&amp;$B69)))," ")</f>
        <v>1.6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40.5</v>
      </c>
      <c r="L74" s="167"/>
      <c r="M74" s="344">
        <f t="shared" ca="1" si="5"/>
        <v>1.6</v>
      </c>
      <c r="N74" s="345" t="s">
        <v>41</v>
      </c>
      <c r="O74" s="372"/>
      <c r="P74" s="20"/>
      <c r="Q74" s="343" t="s">
        <v>116</v>
      </c>
      <c r="R74" s="32">
        <f ca="1">I74</f>
        <v>40.5</v>
      </c>
    </row>
    <row r="75" spans="1:18" ht="12.75" customHeight="1">
      <c r="C75" s="168" t="s">
        <v>114</v>
      </c>
      <c r="D75" s="373" t="str" cm="1">
        <f t="array" aca="1" ref="D75" ca="1">INDIRECT("'Worksheet'!$B"&amp;$B69)</f>
        <v>RS</v>
      </c>
      <c r="E75" s="22"/>
      <c r="F75" s="23"/>
      <c r="G75" s="22"/>
      <c r="H75" s="24"/>
      <c r="I75" s="444" t="str" cm="1">
        <f t="array" aca="1" ref="I75" ca="1">INDIRECT("'Worksheet'!$A"&amp;$B69)</f>
        <v>P1-6</v>
      </c>
      <c r="L75" s="168" t="s">
        <v>114</v>
      </c>
      <c r="M75" s="31" t="str">
        <f t="shared" ca="1" si="5"/>
        <v>RS</v>
      </c>
      <c r="N75" s="20"/>
      <c r="O75" s="33"/>
      <c r="P75" s="27"/>
      <c r="Q75" s="24"/>
      <c r="R75" s="444" t="str">
        <f ca="1">I75</f>
        <v>P1-6</v>
      </c>
    </row>
    <row r="76" spans="1:18" ht="15.75" customHeight="1">
      <c r="C76" s="164" t="s">
        <v>117</v>
      </c>
      <c r="D76" s="346" cm="1">
        <f t="array" aca="1" ref="D76" ca="1">INDIRECT("'Worksheet'!$H"&amp;$B69)</f>
        <v>3.5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45"/>
      <c r="L76" s="164" t="s">
        <v>117</v>
      </c>
      <c r="M76" s="34">
        <f t="shared" ca="1" si="5"/>
        <v>3.5</v>
      </c>
      <c r="N76" s="20"/>
      <c r="O76" s="169" t="s">
        <v>118</v>
      </c>
      <c r="P76" s="35"/>
      <c r="Q76" s="36" t="str">
        <f>H76</f>
        <v>Yes</v>
      </c>
      <c r="R76" s="445"/>
    </row>
    <row r="77" spans="1:18" ht="15.75" customHeight="1">
      <c r="C77" s="164" t="s">
        <v>119</v>
      </c>
      <c r="D77" s="37" t="str">
        <f ca="1">IF($E77&gt;0,"YES"," ")</f>
        <v>YES</v>
      </c>
      <c r="E77" s="347" t="str" cm="1">
        <f t="array" aca="1" ref="E77" ca="1">INDIRECT("'Worksheet'!$X"&amp;$B69)</f>
        <v xml:space="preserve">Flameguard </v>
      </c>
      <c r="F77" s="39"/>
      <c r="G77" s="20"/>
      <c r="H77" s="391" cm="1">
        <f t="array" aca="1" ref="H77" ca="1">INDIRECT("'Worksheet'!$R"&amp;$B69)</f>
        <v>62</v>
      </c>
      <c r="I77" s="445"/>
      <c r="J77" s="40"/>
      <c r="L77" s="164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2">
        <f ca="1">H77</f>
        <v>62</v>
      </c>
      <c r="R77" s="445"/>
    </row>
    <row r="78" spans="1:18" ht="15.75" customHeight="1">
      <c r="C78" s="164" t="s">
        <v>13</v>
      </c>
      <c r="D78" s="347" t="str" cm="1">
        <f t="array" aca="1" ref="D78" ca="1">INDIRECT("'Worksheet'!$W"&amp;$B69)</f>
        <v>5th Avenue 72</v>
      </c>
      <c r="E78" s="22"/>
      <c r="F78" s="23"/>
      <c r="G78" s="22"/>
      <c r="H78" s="391" cm="1">
        <f t="array" aca="1" ref="H78" ca="1">INDIRECT("'Worksheet'!$P"&amp;$B69)</f>
        <v>74</v>
      </c>
      <c r="I78" s="446"/>
      <c r="L78" s="164" t="s">
        <v>13</v>
      </c>
      <c r="M78" s="21" t="str">
        <f t="shared" ca="1" si="5"/>
        <v>5th Avenue 72</v>
      </c>
      <c r="N78" s="22"/>
      <c r="O78" s="23"/>
      <c r="P78" s="22"/>
      <c r="Q78" s="392">
        <f ca="1">H78</f>
        <v>74</v>
      </c>
      <c r="R78" s="446"/>
    </row>
    <row r="79" spans="1:18" ht="23.25">
      <c r="C79" s="348" t="str" cm="1">
        <f t="array" aca="1" ref="C79" ca="1">INDIRECT("'Worksheet'!$J"&amp;$B69)</f>
        <v>dead</v>
      </c>
      <c r="D79" s="443" t="str" cm="1">
        <f t="array" aca="1" ref="D79" ca="1">IF(INDIRECT("'Worksheet'!$D"&amp;$B69)=1, "Left of Pair", IF(INDIRECT("'Worksheet'!$E"&amp;$B69)=1, "Panel"))</f>
        <v>Panel</v>
      </c>
      <c r="E79" s="443"/>
      <c r="F79" s="443"/>
      <c r="G79" s="374"/>
      <c r="H79" s="374" t="str" cm="1">
        <f t="array" aca="1" ref="H79" ca="1">IF(INDIRECT("'Worksheet'!$F"&amp;$B69)="st","SOR T&amp;B"," ")</f>
        <v xml:space="preserve"> </v>
      </c>
      <c r="I79" s="375"/>
      <c r="L79" s="41" t="str">
        <f ca="1">$C79</f>
        <v>dead</v>
      </c>
      <c r="M79" s="443" t="str" cm="1">
        <f t="array" aca="1" ref="M79" ca="1">IF(INDIRECT("'Worksheet'!$D"&amp;$B69)=1, "Right of Pair", IF(INDIRECT("'Worksheet'!$E"&amp;$B69)=1, "Do Not Use"))</f>
        <v>Do Not Use</v>
      </c>
      <c r="N79" s="443"/>
      <c r="O79" s="443"/>
      <c r="P79" s="374"/>
      <c r="Q79" s="374"/>
      <c r="R79" s="375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+Worksheet!$W$4</f>
        <v>Gregory Mill WO#C5364027-00086.01</v>
      </c>
      <c r="E83" s="22"/>
      <c r="F83" s="23"/>
      <c r="G83" s="22"/>
      <c r="H83" s="24"/>
      <c r="I83" s="25">
        <f>+Worksheet!$AR$1</f>
        <v>33517</v>
      </c>
      <c r="J83" s="26"/>
      <c r="L83" s="164" t="s">
        <v>113</v>
      </c>
      <c r="M83" s="21" t="str">
        <f>+Worksheet!$W$4</f>
        <v>Gregory Mill WO#C5364027-00086.01</v>
      </c>
      <c r="N83" s="22"/>
      <c r="O83" s="23"/>
      <c r="P83" s="22"/>
      <c r="Q83" s="24"/>
      <c r="R83" s="25">
        <f>+Worksheet!$AR$1</f>
        <v>33517</v>
      </c>
    </row>
    <row r="84" spans="1:18" ht="32.25">
      <c r="C84" s="165" t="s">
        <v>128</v>
      </c>
      <c r="D84" s="150" cm="1">
        <f t="array" aca="1" ref="D84" ca="1">INDIRECT("'Worksheet'!$K"&amp;$B83)</f>
        <v>34</v>
      </c>
      <c r="E84" s="151" t="s">
        <v>115</v>
      </c>
      <c r="F84" s="150" cm="1">
        <f t="array" aca="1" ref="F84" ca="1">INDIRECT("'Worksheet'!$M"&amp;$B83)</f>
        <v>6.5</v>
      </c>
      <c r="G84" s="151" t="s">
        <v>122</v>
      </c>
      <c r="H84" s="150" cm="1">
        <f t="array" aca="1" ref="H84" ca="1">INDIRECT("'Worksheet'!$O"&amp;$B83)</f>
        <v>57.5</v>
      </c>
      <c r="I84" s="29" t="str">
        <f>+IF(Worksheet!$R$34=1,"Install",IF(Worksheet!$R$34=2,"Ship",IF(Worksheet!$R$34=3,"Deliver",IF(Worksheet!$R$34=4,"Will Call"))))</f>
        <v>Ship</v>
      </c>
      <c r="J84" s="30"/>
      <c r="L84" s="165" t="s">
        <v>128</v>
      </c>
      <c r="M84" s="150">
        <f t="shared" ref="M84:M92" ca="1" si="6">D84</f>
        <v>34</v>
      </c>
      <c r="N84" s="151" t="s">
        <v>115</v>
      </c>
      <c r="O84" s="152">
        <f ca="1">F84</f>
        <v>6.5</v>
      </c>
      <c r="P84" s="151" t="s">
        <v>122</v>
      </c>
      <c r="Q84" s="153">
        <f ca="1">H84</f>
        <v>57.5</v>
      </c>
      <c r="R84" s="29" t="str">
        <f>+IF(Worksheet!$R$34=1,"Install",IF(Worksheet!$R$34=2,"Ship",IF(Worksheet!$R$34=3,"Deliver",IF(Worksheet!$R$34=4,"Will Call"))))</f>
        <v>Ship</v>
      </c>
    </row>
    <row r="85" spans="1:18" ht="12.75" customHeight="1">
      <c r="C85" s="164" t="s">
        <v>121</v>
      </c>
      <c r="D85" s="19">
        <f ca="1">+IF($D93="Left of Pair",((D84+F84)*Worksheet!$AE$7)/2,IF($D93="Panel",(D84+F84)*Worksheet!$AE$7,IF($H93="SOR",D84*2.5+6,IF($H93="SOR T&amp;B",D84*2.5+6))))</f>
        <v>101.25</v>
      </c>
      <c r="E85" s="19" t="s">
        <v>122</v>
      </c>
      <c r="F85" s="369">
        <f ca="1">H84+15</f>
        <v>72.5</v>
      </c>
      <c r="G85" s="447" cm="1">
        <f t="array" aca="1" ref="G85" ca="1">INDIRECT("'Worksheet'!$Y"&amp;$B83)</f>
        <v>0</v>
      </c>
      <c r="H85" s="447"/>
      <c r="I85" s="448"/>
      <c r="L85" s="164" t="s">
        <v>121</v>
      </c>
      <c r="M85">
        <f t="shared" ca="1" si="6"/>
        <v>101.25</v>
      </c>
      <c r="N85" s="19" t="s">
        <v>122</v>
      </c>
      <c r="O85" s="369">
        <f ca="1">F85</f>
        <v>72.5</v>
      </c>
      <c r="P85" s="449">
        <f ca="1">G85</f>
        <v>0</v>
      </c>
      <c r="Q85" s="449"/>
      <c r="R85" s="450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1.4000000000000001</v>
      </c>
      <c r="E86" s="42" t="s">
        <v>41</v>
      </c>
      <c r="F86" s="370"/>
      <c r="G86" s="447"/>
      <c r="H86" s="447"/>
      <c r="I86" s="448"/>
      <c r="L86" s="166"/>
      <c r="M86" s="161">
        <f t="shared" ca="1" si="6"/>
        <v>1.4000000000000001</v>
      </c>
      <c r="N86" s="42" t="s">
        <v>41</v>
      </c>
      <c r="O86" s="370"/>
      <c r="P86" s="449"/>
      <c r="Q86" s="451"/>
      <c r="R86" s="452"/>
    </row>
    <row r="87" spans="1:18" ht="15.75">
      <c r="C87" s="164" t="s">
        <v>135</v>
      </c>
      <c r="D87" s="19">
        <f ca="1">+IF(D91="yes",IF($D93="Left of Pair",($D88*$H91),IF($D93="Panel",$D88*$H91,IF($H93="SOR",$D88*$H91," ")))," ")</f>
        <v>99.2</v>
      </c>
      <c r="E87" s="19" t="s">
        <v>122</v>
      </c>
      <c r="F87" s="369">
        <f ca="1">IF(D91="YES",H84+12," ")</f>
        <v>69.5</v>
      </c>
      <c r="H87" s="343" t="s">
        <v>10</v>
      </c>
      <c r="I87" s="371" cm="1">
        <f t="array" aca="1" ref="I87" ca="1">INDIRECT("'Worksheet'!$Q"&amp;B83)</f>
        <v>1.4000000000000001</v>
      </c>
      <c r="L87" s="164" t="s">
        <v>135</v>
      </c>
      <c r="M87">
        <f t="shared" ca="1" si="6"/>
        <v>99.2</v>
      </c>
      <c r="N87" s="19" t="s">
        <v>122</v>
      </c>
      <c r="O87" s="369">
        <f ca="1">F87</f>
        <v>69.5</v>
      </c>
      <c r="P87" s="19"/>
      <c r="Q87" s="343" t="s">
        <v>10</v>
      </c>
      <c r="R87" s="160">
        <f ca="1">I87</f>
        <v>1.4000000000000001</v>
      </c>
    </row>
    <row r="88" spans="1:18">
      <c r="C88" s="167"/>
      <c r="D88" s="161" cm="1">
        <f t="array" aca="1" ref="D88" ca="1">IF(D91="yes",IF($D93="Left of Pair",INDIRECT("'Worksheet'!$S"&amp;$B83)/2,IF($D93="Panel",INDIRECT("'Worksheet'!$S"&amp;$B83)))," ")</f>
        <v>1.6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40.5</v>
      </c>
      <c r="L88" s="167"/>
      <c r="M88" s="344">
        <f t="shared" ca="1" si="6"/>
        <v>1.6</v>
      </c>
      <c r="N88" s="345" t="s">
        <v>41</v>
      </c>
      <c r="O88" s="372"/>
      <c r="P88" s="20"/>
      <c r="Q88" s="343" t="s">
        <v>116</v>
      </c>
      <c r="R88" s="32">
        <f ca="1">I88</f>
        <v>40.5</v>
      </c>
    </row>
    <row r="89" spans="1:18" ht="12.75" customHeight="1">
      <c r="C89" s="168" t="s">
        <v>114</v>
      </c>
      <c r="D89" s="373" t="str" cm="1">
        <f t="array" aca="1" ref="D89" ca="1">INDIRECT("'Worksheet'!$B"&amp;$B83)</f>
        <v>RS</v>
      </c>
      <c r="E89" s="22"/>
      <c r="F89" s="23"/>
      <c r="G89" s="22"/>
      <c r="H89" s="24"/>
      <c r="I89" s="444" t="str" cm="1">
        <f t="array" aca="1" ref="I89" ca="1">INDIRECT("'Worksheet'!$A"&amp;$B83)</f>
        <v>P1-7</v>
      </c>
      <c r="L89" s="168" t="s">
        <v>114</v>
      </c>
      <c r="M89" s="31" t="str">
        <f t="shared" ca="1" si="6"/>
        <v>RS</v>
      </c>
      <c r="N89" s="20"/>
      <c r="O89" s="33"/>
      <c r="P89" s="27"/>
      <c r="Q89" s="24"/>
      <c r="R89" s="444" t="str">
        <f ca="1">I89</f>
        <v>P1-7</v>
      </c>
    </row>
    <row r="90" spans="1:18" ht="15.75" customHeight="1">
      <c r="C90" s="164" t="s">
        <v>117</v>
      </c>
      <c r="D90" s="346" cm="1">
        <f t="array" aca="1" ref="D90" ca="1">INDIRECT("'Worksheet'!$H"&amp;$B83)</f>
        <v>3.5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45"/>
      <c r="L90" s="164" t="s">
        <v>117</v>
      </c>
      <c r="M90" s="34">
        <f t="shared" ca="1" si="6"/>
        <v>3.5</v>
      </c>
      <c r="N90" s="20"/>
      <c r="O90" s="169" t="s">
        <v>118</v>
      </c>
      <c r="P90" s="35"/>
      <c r="Q90" s="36" t="str">
        <f>H90</f>
        <v>Yes</v>
      </c>
      <c r="R90" s="445"/>
    </row>
    <row r="91" spans="1:18" ht="15.75" customHeight="1">
      <c r="C91" s="164" t="s">
        <v>119</v>
      </c>
      <c r="D91" s="37" t="str">
        <f ca="1">IF($E91&gt;0,"YES"," ")</f>
        <v>YES</v>
      </c>
      <c r="E91" s="347" t="str" cm="1">
        <f t="array" aca="1" ref="E91" ca="1">INDIRECT("'Worksheet'!$X"&amp;$B83)</f>
        <v xml:space="preserve">Flameguard </v>
      </c>
      <c r="F91" s="39"/>
      <c r="G91" s="20"/>
      <c r="H91" s="391" cm="1">
        <f t="array" aca="1" ref="H91" ca="1">INDIRECT("'Worksheet'!$R"&amp;$B83)</f>
        <v>62</v>
      </c>
      <c r="I91" s="445"/>
      <c r="J91" s="40"/>
      <c r="L91" s="164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2">
        <f ca="1">H91</f>
        <v>62</v>
      </c>
      <c r="R91" s="445"/>
    </row>
    <row r="92" spans="1:18" ht="15.75" customHeight="1">
      <c r="C92" s="164" t="s">
        <v>13</v>
      </c>
      <c r="D92" s="347" t="str" cm="1">
        <f t="array" aca="1" ref="D92" ca="1">INDIRECT("'Worksheet'!$W"&amp;$B83)</f>
        <v>5th Avenue 72</v>
      </c>
      <c r="E92" s="22"/>
      <c r="F92" s="23"/>
      <c r="G92" s="22"/>
      <c r="H92" s="391" cm="1">
        <f t="array" aca="1" ref="H92" ca="1">INDIRECT("'Worksheet'!$P"&amp;$B83)</f>
        <v>74</v>
      </c>
      <c r="I92" s="446"/>
      <c r="L92" s="164" t="s">
        <v>13</v>
      </c>
      <c r="M92" s="21" t="str">
        <f t="shared" ca="1" si="6"/>
        <v>5th Avenue 72</v>
      </c>
      <c r="N92" s="22"/>
      <c r="O92" s="23"/>
      <c r="P92" s="22"/>
      <c r="Q92" s="392">
        <f ca="1">H92</f>
        <v>74</v>
      </c>
      <c r="R92" s="446"/>
    </row>
    <row r="93" spans="1:18" ht="23.25">
      <c r="C93" s="348" t="str" cm="1">
        <f t="array" aca="1" ref="C93" ca="1">INDIRECT("'Worksheet'!$J"&amp;$B83)</f>
        <v>dead</v>
      </c>
      <c r="D93" s="443" t="str" cm="1">
        <f t="array" aca="1" ref="D93" ca="1">IF(INDIRECT("'Worksheet'!$D"&amp;$B83)=1, "Left of Pair", IF(INDIRECT("'Worksheet'!$E"&amp;$B83)=1, "Panel"))</f>
        <v>Panel</v>
      </c>
      <c r="E93" s="443"/>
      <c r="F93" s="443"/>
      <c r="G93" s="374"/>
      <c r="H93" s="374" t="str" cm="1">
        <f t="array" aca="1" ref="H93" ca="1">IF(INDIRECT("'Worksheet'!$F"&amp;$B83)="st","SOR T&amp;B"," ")</f>
        <v xml:space="preserve"> </v>
      </c>
      <c r="I93" s="375"/>
      <c r="L93" s="41" t="str">
        <f ca="1">$C93</f>
        <v>dead</v>
      </c>
      <c r="M93" s="443" t="str" cm="1">
        <f t="array" aca="1" ref="M93" ca="1">IF(INDIRECT("'Worksheet'!$D"&amp;$B83)=1, "Right of Pair", IF(INDIRECT("'Worksheet'!$E"&amp;$B83)=1, "Do Not Use"))</f>
        <v>Do Not Use</v>
      </c>
      <c r="N93" s="443"/>
      <c r="O93" s="443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+Worksheet!$W$4</f>
        <v>Gregory Mill WO#C5364027-00086.01</v>
      </c>
      <c r="E97" s="22"/>
      <c r="F97" s="23"/>
      <c r="G97" s="22"/>
      <c r="H97" s="24"/>
      <c r="I97" s="25">
        <f>+Worksheet!$AR$1</f>
        <v>33517</v>
      </c>
      <c r="J97" s="26"/>
      <c r="L97" s="164" t="s">
        <v>113</v>
      </c>
      <c r="M97" s="21" t="str">
        <f>+Worksheet!$W$4</f>
        <v>Gregory Mill WO#C5364027-00086.01</v>
      </c>
      <c r="N97" s="22"/>
      <c r="O97" s="23"/>
      <c r="P97" s="22"/>
      <c r="Q97" s="24"/>
      <c r="R97" s="25">
        <f>+Worksheet!$AR$1</f>
        <v>33517</v>
      </c>
    </row>
    <row r="98" spans="1:18" ht="32.25">
      <c r="C98" s="165" t="s">
        <v>128</v>
      </c>
      <c r="D98" s="150" cm="1">
        <f t="array" aca="1" ref="D98" ca="1">INDIRECT("'Worksheet'!$K"&amp;$B97)</f>
        <v>34</v>
      </c>
      <c r="E98" s="151" t="s">
        <v>115</v>
      </c>
      <c r="F98" s="150" cm="1">
        <f t="array" aca="1" ref="F98" ca="1">INDIRECT("'Worksheet'!$M"&amp;$B97)</f>
        <v>6.5</v>
      </c>
      <c r="G98" s="151" t="s">
        <v>122</v>
      </c>
      <c r="H98" s="150" cm="1">
        <f t="array" aca="1" ref="H98" ca="1">INDIRECT("'Worksheet'!$O"&amp;$B97)</f>
        <v>57.5</v>
      </c>
      <c r="I98" s="29" t="str">
        <f>+IF(Worksheet!$R$34=1,"Install",IF(Worksheet!$R$34=2,"Ship",IF(Worksheet!$R$34=3,"Deliver",IF(Worksheet!$R$34=4,"Will Call"))))</f>
        <v>Ship</v>
      </c>
      <c r="J98" s="30"/>
      <c r="L98" s="165" t="s">
        <v>128</v>
      </c>
      <c r="M98" s="150">
        <f t="shared" ref="M98:M106" ca="1" si="7">D98</f>
        <v>34</v>
      </c>
      <c r="N98" s="151" t="s">
        <v>115</v>
      </c>
      <c r="O98" s="152">
        <f ca="1">F98</f>
        <v>6.5</v>
      </c>
      <c r="P98" s="151" t="s">
        <v>122</v>
      </c>
      <c r="Q98" s="153">
        <f ca="1">H98</f>
        <v>57.5</v>
      </c>
      <c r="R98" s="29" t="str">
        <f>+IF(Worksheet!$R$34=1,"Install",IF(Worksheet!$R$34=2,"Ship",IF(Worksheet!$R$34=3,"Deliver",IF(Worksheet!$R$34=4,"Will Call"))))</f>
        <v>Ship</v>
      </c>
    </row>
    <row r="99" spans="1:18" ht="12.75" customHeight="1">
      <c r="C99" s="164" t="s">
        <v>121</v>
      </c>
      <c r="D99" s="19">
        <f ca="1">+IF($D107="Left of Pair",((D98+F98)*Worksheet!$AE$7)/2,IF($D107="Panel",(D98+F98)*Worksheet!$AE$7,IF($H107="SOR",D98*2.5+6,IF($H107="SOR T&amp;B",D98*2.5+6))))</f>
        <v>101.25</v>
      </c>
      <c r="E99" s="19" t="s">
        <v>122</v>
      </c>
      <c r="F99" s="369">
        <f ca="1">H98+15</f>
        <v>72.5</v>
      </c>
      <c r="G99" s="447" cm="1">
        <f t="array" aca="1" ref="G99" ca="1">INDIRECT("'Worksheet'!$Y"&amp;$B97)</f>
        <v>0</v>
      </c>
      <c r="H99" s="447"/>
      <c r="I99" s="448"/>
      <c r="L99" s="164" t="s">
        <v>121</v>
      </c>
      <c r="M99">
        <f t="shared" ca="1" si="7"/>
        <v>101.25</v>
      </c>
      <c r="N99" s="19" t="s">
        <v>122</v>
      </c>
      <c r="O99" s="369">
        <f ca="1">F99</f>
        <v>72.5</v>
      </c>
      <c r="P99" s="449">
        <f ca="1">G99</f>
        <v>0</v>
      </c>
      <c r="Q99" s="449"/>
      <c r="R99" s="450"/>
    </row>
    <row r="100" spans="1:18" ht="19.5" customHeight="1">
      <c r="C100" s="166"/>
      <c r="D100" s="161" cm="1">
        <f t="array" aca="1" ref="D100" ca="1">IF($D107="Left of Pair",INDIRECT("'Worksheet'!$Q"&amp;$B97)/2,IF($D107="Panel",INDIRECT("'Worksheet'!$Q"&amp;$B97)))</f>
        <v>1.4000000000000001</v>
      </c>
      <c r="E100" s="42" t="s">
        <v>41</v>
      </c>
      <c r="F100" s="370"/>
      <c r="G100" s="447"/>
      <c r="H100" s="447"/>
      <c r="I100" s="448"/>
      <c r="L100" s="166"/>
      <c r="M100" s="161">
        <f t="shared" ca="1" si="7"/>
        <v>1.4000000000000001</v>
      </c>
      <c r="N100" s="42" t="s">
        <v>41</v>
      </c>
      <c r="O100" s="370"/>
      <c r="P100" s="449"/>
      <c r="Q100" s="451"/>
      <c r="R100" s="452"/>
    </row>
    <row r="101" spans="1:18" ht="15.75">
      <c r="C101" s="164" t="s">
        <v>135</v>
      </c>
      <c r="D101" s="19">
        <f ca="1">+IF(D105="yes",IF($D107="Left of Pair",($D102*$H105),IF($D107="Panel",$D102*$H105,IF($H107="SOR",$D102*$H105," ")))," ")</f>
        <v>99.2</v>
      </c>
      <c r="E101" s="19" t="s">
        <v>122</v>
      </c>
      <c r="F101" s="369">
        <f ca="1">IF(D105="YES",H98+12," ")</f>
        <v>69.5</v>
      </c>
      <c r="H101" s="343" t="s">
        <v>10</v>
      </c>
      <c r="I101" s="371" cm="1">
        <f t="array" aca="1" ref="I101" ca="1">INDIRECT("'Worksheet'!$Q"&amp;B97)</f>
        <v>1.4000000000000001</v>
      </c>
      <c r="L101" s="164" t="s">
        <v>135</v>
      </c>
      <c r="M101">
        <f t="shared" ca="1" si="7"/>
        <v>99.2</v>
      </c>
      <c r="N101" s="19" t="s">
        <v>122</v>
      </c>
      <c r="O101" s="369">
        <f ca="1">F101</f>
        <v>69.5</v>
      </c>
      <c r="P101" s="19"/>
      <c r="Q101" s="343" t="s">
        <v>10</v>
      </c>
      <c r="R101" s="160">
        <f ca="1">I101</f>
        <v>1.4000000000000001</v>
      </c>
    </row>
    <row r="102" spans="1:18">
      <c r="C102" s="167"/>
      <c r="D102" s="161" cm="1">
        <f t="array" aca="1" ref="D102" ca="1">IF(D105="yes",IF($D107="Left of Pair",INDIRECT("'Worksheet'!$S"&amp;$B97)/2,IF($D107="Panel",INDIRECT("'Worksheet'!$S"&amp;$B97)))," ")</f>
        <v>1.6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40.5</v>
      </c>
      <c r="L102" s="167"/>
      <c r="M102" s="344">
        <f t="shared" ca="1" si="7"/>
        <v>1.6</v>
      </c>
      <c r="N102" s="345" t="s">
        <v>41</v>
      </c>
      <c r="O102" s="372"/>
      <c r="P102" s="20"/>
      <c r="Q102" s="343" t="s">
        <v>116</v>
      </c>
      <c r="R102" s="32">
        <f ca="1">I102</f>
        <v>40.5</v>
      </c>
    </row>
    <row r="103" spans="1:18" ht="12.75" customHeight="1">
      <c r="C103" s="168" t="s">
        <v>114</v>
      </c>
      <c r="D103" s="373" t="str" cm="1">
        <f t="array" aca="1" ref="D103" ca="1">INDIRECT("'Worksheet'!$B"&amp;$B97)</f>
        <v>RS</v>
      </c>
      <c r="E103" s="22"/>
      <c r="F103" s="23"/>
      <c r="G103" s="22"/>
      <c r="H103" s="24"/>
      <c r="I103" s="444" t="str" cm="1">
        <f t="array" aca="1" ref="I103" ca="1">INDIRECT("'Worksheet'!$A"&amp;$B97)</f>
        <v>P1-8</v>
      </c>
      <c r="L103" s="168" t="s">
        <v>114</v>
      </c>
      <c r="M103" s="31" t="str">
        <f t="shared" ca="1" si="7"/>
        <v>RS</v>
      </c>
      <c r="N103" s="20"/>
      <c r="O103" s="33"/>
      <c r="P103" s="27"/>
      <c r="Q103" s="24"/>
      <c r="R103" s="444" t="str">
        <f ca="1">I103</f>
        <v>P1-8</v>
      </c>
    </row>
    <row r="104" spans="1:18" ht="15.75" customHeight="1">
      <c r="C104" s="164" t="s">
        <v>117</v>
      </c>
      <c r="D104" s="346" cm="1">
        <f t="array" aca="1" ref="D104" ca="1">INDIRECT("'Worksheet'!$H"&amp;$B97)</f>
        <v>3.5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45"/>
      <c r="L104" s="164" t="s">
        <v>117</v>
      </c>
      <c r="M104" s="34">
        <f t="shared" ca="1" si="7"/>
        <v>3.5</v>
      </c>
      <c r="N104" s="20"/>
      <c r="O104" s="169" t="s">
        <v>118</v>
      </c>
      <c r="P104" s="35"/>
      <c r="Q104" s="36" t="str">
        <f>H104</f>
        <v>Yes</v>
      </c>
      <c r="R104" s="445"/>
    </row>
    <row r="105" spans="1:18" ht="15.75" customHeight="1">
      <c r="C105" s="164" t="s">
        <v>119</v>
      </c>
      <c r="D105" s="37" t="str">
        <f ca="1">IF($E105&gt;0,"YES"," ")</f>
        <v>YES</v>
      </c>
      <c r="E105" s="347" t="str" cm="1">
        <f t="array" aca="1" ref="E105" ca="1">INDIRECT("'Worksheet'!$X"&amp;$B97)</f>
        <v xml:space="preserve">Flameguard </v>
      </c>
      <c r="F105" s="39"/>
      <c r="G105" s="20"/>
      <c r="H105" s="391" cm="1">
        <f t="array" aca="1" ref="H105" ca="1">INDIRECT("'Worksheet'!$R"&amp;$B97)</f>
        <v>62</v>
      </c>
      <c r="I105" s="445"/>
      <c r="J105" s="40"/>
      <c r="L105" s="164" t="s">
        <v>119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2">
        <f ca="1">H105</f>
        <v>62</v>
      </c>
      <c r="R105" s="445"/>
    </row>
    <row r="106" spans="1:18" ht="15.75" customHeight="1">
      <c r="C106" s="164" t="s">
        <v>13</v>
      </c>
      <c r="D106" s="347" t="str" cm="1">
        <f t="array" aca="1" ref="D106" ca="1">INDIRECT("'Worksheet'!$W"&amp;$B97)</f>
        <v>5th Avenue 72</v>
      </c>
      <c r="E106" s="22"/>
      <c r="F106" s="23"/>
      <c r="G106" s="22"/>
      <c r="H106" s="391" cm="1">
        <f t="array" aca="1" ref="H106" ca="1">INDIRECT("'Worksheet'!$P"&amp;$B97)</f>
        <v>74</v>
      </c>
      <c r="I106" s="446"/>
      <c r="L106" s="164" t="s">
        <v>13</v>
      </c>
      <c r="M106" s="21" t="str">
        <f t="shared" ca="1" si="7"/>
        <v>5th Avenue 72</v>
      </c>
      <c r="N106" s="22"/>
      <c r="O106" s="23"/>
      <c r="P106" s="22"/>
      <c r="Q106" s="392">
        <f ca="1">H106</f>
        <v>74</v>
      </c>
      <c r="R106" s="446"/>
    </row>
    <row r="107" spans="1:18" ht="23.25">
      <c r="C107" s="348" t="str" cm="1">
        <f t="array" aca="1" ref="C107" ca="1">INDIRECT("'Worksheet'!$J"&amp;$B97)</f>
        <v>dead</v>
      </c>
      <c r="D107" s="443" t="str" cm="1">
        <f t="array" aca="1" ref="D107" ca="1">IF(INDIRECT("'Worksheet'!$D"&amp;$B97)=1, "Left of Pair", IF(INDIRECT("'Worksheet'!$E"&amp;$B97)=1, "Panel"))</f>
        <v>Panel</v>
      </c>
      <c r="E107" s="443"/>
      <c r="F107" s="443"/>
      <c r="G107" s="374"/>
      <c r="H107" s="374" t="str" cm="1">
        <f t="array" aca="1" ref="H107" ca="1">IF(INDIRECT("'Worksheet'!$F"&amp;$B97)="st","SOR T&amp;B"," ")</f>
        <v xml:space="preserve"> </v>
      </c>
      <c r="I107" s="375"/>
      <c r="L107" s="41" t="str">
        <f ca="1">$C107</f>
        <v>dead</v>
      </c>
      <c r="M107" s="443" t="str" cm="1">
        <f t="array" aca="1" ref="M107" ca="1">IF(INDIRECT("'Worksheet'!$D"&amp;$B97)=1, "Right of Pair", IF(INDIRECT("'Worksheet'!$E"&amp;$B97)=1, "Do Not Use"))</f>
        <v>Do Not Use</v>
      </c>
      <c r="N107" s="443"/>
      <c r="O107" s="443"/>
      <c r="P107" s="374"/>
      <c r="Q107" s="374"/>
      <c r="R107" s="375"/>
    </row>
    <row r="109" spans="1:18" ht="19.5">
      <c r="A109" t="s">
        <v>32</v>
      </c>
      <c r="B109">
        <v>19</v>
      </c>
      <c r="C109" s="164" t="s">
        <v>113</v>
      </c>
      <c r="D109" s="21" t="str">
        <f>+Worksheet!$W$4</f>
        <v>Gregory Mill WO#C5364027-00086.01</v>
      </c>
      <c r="E109" s="22"/>
      <c r="F109" s="23"/>
      <c r="G109" s="22"/>
      <c r="H109" s="24"/>
      <c r="I109" s="25">
        <f>+Worksheet!$AR$1</f>
        <v>33517</v>
      </c>
      <c r="J109" s="26"/>
      <c r="L109" s="164" t="s">
        <v>113</v>
      </c>
      <c r="M109" s="21" t="str">
        <f>+Worksheet!$W$4</f>
        <v>Gregory Mill WO#C5364027-00086.01</v>
      </c>
      <c r="N109" s="22"/>
      <c r="O109" s="23"/>
      <c r="P109" s="22"/>
      <c r="Q109" s="24"/>
      <c r="R109" s="25">
        <f>+Worksheet!$AR$1</f>
        <v>33517</v>
      </c>
    </row>
    <row r="110" spans="1:18" ht="32.25">
      <c r="C110" s="165" t="s">
        <v>128</v>
      </c>
      <c r="D110" s="150" cm="1">
        <f t="array" aca="1" ref="D110" ca="1">INDIRECT("'Worksheet'!$K"&amp;$B109)</f>
        <v>34</v>
      </c>
      <c r="E110" s="151" t="s">
        <v>115</v>
      </c>
      <c r="F110" s="150" cm="1">
        <f t="array" aca="1" ref="F110" ca="1">INDIRECT("'Worksheet'!$M"&amp;$B109)</f>
        <v>6.5</v>
      </c>
      <c r="G110" s="151" t="s">
        <v>122</v>
      </c>
      <c r="H110" s="150" cm="1">
        <f t="array" aca="1" ref="H110" ca="1">INDIRECT("'Worksheet'!$O"&amp;$B109)</f>
        <v>58</v>
      </c>
      <c r="I110" s="29" t="str">
        <f>+IF(Worksheet!$R$34=1,"Install",IF(Worksheet!$R$34=2,"Ship",IF(Worksheet!$R$34=3,"Deliver",IF(Worksheet!$R$34=4,"Will Call"))))</f>
        <v>Ship</v>
      </c>
      <c r="J110" s="30"/>
      <c r="L110" s="165" t="s">
        <v>128</v>
      </c>
      <c r="M110" s="150">
        <f t="shared" ref="M110:M118" ca="1" si="8">D110</f>
        <v>34</v>
      </c>
      <c r="N110" s="151" t="s">
        <v>115</v>
      </c>
      <c r="O110" s="152">
        <f ca="1">F110</f>
        <v>6.5</v>
      </c>
      <c r="P110" s="151" t="s">
        <v>122</v>
      </c>
      <c r="Q110" s="153">
        <f ca="1">H110</f>
        <v>58</v>
      </c>
      <c r="R110" s="29" t="str">
        <f>+IF(Worksheet!$R$34=1,"Install",IF(Worksheet!$R$34=2,"Ship",IF(Worksheet!$R$34=3,"Deliver",IF(Worksheet!$R$34=4,"Will Call"))))</f>
        <v>Ship</v>
      </c>
    </row>
    <row r="111" spans="1:18" ht="12.75" customHeight="1">
      <c r="C111" s="164" t="s">
        <v>121</v>
      </c>
      <c r="D111" s="19">
        <f ca="1">+IF($D119="Left of Pair",((D110+F110)*Worksheet!$AE$7)/2,IF($D119="Panel",(D110+F110)*Worksheet!$AE$7,IF($H119="SOR",D110*2.5+6,IF($H119="SOR T&amp;B",D110*2.5+6))))</f>
        <v>101.25</v>
      </c>
      <c r="E111" s="19" t="s">
        <v>122</v>
      </c>
      <c r="F111" s="369">
        <f ca="1">H110+15</f>
        <v>73</v>
      </c>
      <c r="G111" s="447" cm="1">
        <f t="array" aca="1" ref="G111" ca="1">INDIRECT("'Worksheet'!$Y"&amp;$B109)</f>
        <v>0</v>
      </c>
      <c r="H111" s="447"/>
      <c r="I111" s="448"/>
      <c r="L111" s="164" t="s">
        <v>121</v>
      </c>
      <c r="M111">
        <f t="shared" ca="1" si="8"/>
        <v>101.25</v>
      </c>
      <c r="N111" s="19" t="s">
        <v>122</v>
      </c>
      <c r="O111" s="369">
        <f ca="1">F111</f>
        <v>73</v>
      </c>
      <c r="P111" s="449">
        <f ca="1">G111</f>
        <v>0</v>
      </c>
      <c r="Q111" s="449"/>
      <c r="R111" s="450"/>
    </row>
    <row r="112" spans="1:18" ht="19.5" customHeight="1">
      <c r="C112" s="166"/>
      <c r="D112" s="161" cm="1">
        <f t="array" aca="1" ref="D112" ca="1">IF($D119="Left of Pair",INDIRECT("'Worksheet'!$Q"&amp;$B109)/2,IF($D119="Panel",INDIRECT("'Worksheet'!$Q"&amp;$B109)))</f>
        <v>1.4000000000000001</v>
      </c>
      <c r="E112" s="42" t="s">
        <v>41</v>
      </c>
      <c r="F112" s="370"/>
      <c r="G112" s="447"/>
      <c r="H112" s="447"/>
      <c r="I112" s="448"/>
      <c r="L112" s="166"/>
      <c r="M112" s="161">
        <f t="shared" ca="1" si="8"/>
        <v>1.4000000000000001</v>
      </c>
      <c r="N112" s="42" t="s">
        <v>41</v>
      </c>
      <c r="O112" s="370"/>
      <c r="P112" s="449"/>
      <c r="Q112" s="451"/>
      <c r="R112" s="452"/>
    </row>
    <row r="113" spans="1:18" ht="15.75">
      <c r="C113" s="164" t="s">
        <v>135</v>
      </c>
      <c r="D113" s="19">
        <f ca="1">+IF(D117="yes",IF($D119="Left of Pair",($D114*$H117),IF($D119="Panel",$D114*$H117,IF($H119="SOR",$D114*$H117," ")))," ")</f>
        <v>96</v>
      </c>
      <c r="E113" s="19" t="s">
        <v>122</v>
      </c>
      <c r="F113" s="369">
        <f ca="1">IF(D117="YES",H110+12," ")</f>
        <v>70</v>
      </c>
      <c r="H113" s="343" t="s">
        <v>10</v>
      </c>
      <c r="I113" s="371" cm="1">
        <f t="array" aca="1" ref="I113" ca="1">INDIRECT("'Worksheet'!$Q"&amp;B109)</f>
        <v>1.4000000000000001</v>
      </c>
      <c r="L113" s="164" t="s">
        <v>135</v>
      </c>
      <c r="M113">
        <f t="shared" ca="1" si="8"/>
        <v>96</v>
      </c>
      <c r="N113" s="19" t="s">
        <v>122</v>
      </c>
      <c r="O113" s="369">
        <f ca="1">F113</f>
        <v>70</v>
      </c>
      <c r="P113" s="19"/>
      <c r="Q113" s="343" t="s">
        <v>10</v>
      </c>
      <c r="R113" s="160">
        <f ca="1">I113</f>
        <v>1.4000000000000001</v>
      </c>
    </row>
    <row r="114" spans="1:18">
      <c r="C114" s="167"/>
      <c r="D114" s="161" cm="1">
        <f t="array" aca="1" ref="D114" ca="1">IF(D117="yes",IF($D119="Left of Pair",INDIRECT("'Worksheet'!$S"&amp;$B109)/2,IF($D119="Panel",INDIRECT("'Worksheet'!$S"&amp;$B109)))," ")</f>
        <v>1.6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40.5</v>
      </c>
      <c r="L114" s="167"/>
      <c r="M114" s="344">
        <f t="shared" ca="1" si="8"/>
        <v>1.6</v>
      </c>
      <c r="N114" s="345" t="s">
        <v>41</v>
      </c>
      <c r="O114" s="372"/>
      <c r="P114" s="20"/>
      <c r="Q114" s="343" t="s">
        <v>116</v>
      </c>
      <c r="R114" s="32">
        <f ca="1">I114</f>
        <v>40.5</v>
      </c>
    </row>
    <row r="115" spans="1:18" ht="12.75" customHeight="1">
      <c r="C115" s="168" t="s">
        <v>114</v>
      </c>
      <c r="D115" s="373" t="str" cm="1">
        <f t="array" aca="1" ref="D115" ca="1">INDIRECT("'Worksheet'!$B"&amp;$B109)</f>
        <v>FHC</v>
      </c>
      <c r="E115" s="22"/>
      <c r="F115" s="23"/>
      <c r="G115" s="22"/>
      <c r="H115" s="24"/>
      <c r="I115" s="444" t="str" cm="1">
        <f t="array" aca="1" ref="I115" ca="1">INDIRECT("'Worksheet'!$A"&amp;$B109)</f>
        <v>P1-9</v>
      </c>
      <c r="L115" s="168" t="s">
        <v>114</v>
      </c>
      <c r="M115" s="31" t="str">
        <f t="shared" ca="1" si="8"/>
        <v>FHC</v>
      </c>
      <c r="N115" s="20"/>
      <c r="O115" s="33"/>
      <c r="P115" s="27"/>
      <c r="Q115" s="24"/>
      <c r="R115" s="444" t="str">
        <f ca="1">I115</f>
        <v>P1-9</v>
      </c>
    </row>
    <row r="116" spans="1:18" ht="15.75" customHeight="1">
      <c r="C116" s="164" t="s">
        <v>117</v>
      </c>
      <c r="D116" s="346" cm="1">
        <f t="array" aca="1" ref="D116" ca="1">INDIRECT("'Worksheet'!$H"&amp;$B109)</f>
        <v>3.5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45"/>
      <c r="L116" s="164" t="s">
        <v>117</v>
      </c>
      <c r="M116" s="34">
        <f t="shared" ca="1" si="8"/>
        <v>3.5</v>
      </c>
      <c r="N116" s="20"/>
      <c r="O116" s="169" t="s">
        <v>118</v>
      </c>
      <c r="P116" s="35"/>
      <c r="Q116" s="36" t="str">
        <f>H116</f>
        <v>Yes</v>
      </c>
      <c r="R116" s="445"/>
    </row>
    <row r="117" spans="1:18" ht="15.75" customHeight="1">
      <c r="C117" s="164" t="s">
        <v>119</v>
      </c>
      <c r="D117" s="37" t="str">
        <f ca="1">IF($E117&gt;0,"YES"," ")</f>
        <v>YES</v>
      </c>
      <c r="E117" s="347" t="str" cm="1">
        <f t="array" aca="1" ref="E117" ca="1">INDIRECT("'Worksheet'!$X"&amp;$B109)</f>
        <v xml:space="preserve">Liteless </v>
      </c>
      <c r="F117" s="39"/>
      <c r="G117" s="20"/>
      <c r="H117" s="391" cm="1">
        <f t="array" aca="1" ref="H117" ca="1">INDIRECT("'Worksheet'!$R"&amp;$B109)</f>
        <v>60</v>
      </c>
      <c r="I117" s="445"/>
      <c r="J117" s="40"/>
      <c r="L117" s="164" t="s">
        <v>119</v>
      </c>
      <c r="M117" s="37" t="str">
        <f t="shared" ca="1" si="8"/>
        <v>YES</v>
      </c>
      <c r="N117" s="38" t="str">
        <f ca="1">E117</f>
        <v xml:space="preserve">Liteless </v>
      </c>
      <c r="O117" s="39"/>
      <c r="P117" s="20"/>
      <c r="Q117" s="392">
        <f ca="1">H117</f>
        <v>60</v>
      </c>
      <c r="R117" s="445"/>
    </row>
    <row r="118" spans="1:18" ht="15.75" customHeight="1">
      <c r="C118" s="164" t="s">
        <v>13</v>
      </c>
      <c r="D118" s="347" t="str" cm="1">
        <f t="array" aca="1" ref="D118" ca="1">INDIRECT("'Worksheet'!$W"&amp;$B109)</f>
        <v>5th Avenue 72</v>
      </c>
      <c r="E118" s="22"/>
      <c r="F118" s="23"/>
      <c r="G118" s="22"/>
      <c r="H118" s="391" cm="1">
        <f t="array" aca="1" ref="H118" ca="1">INDIRECT("'Worksheet'!$P"&amp;$B109)</f>
        <v>74</v>
      </c>
      <c r="I118" s="446"/>
      <c r="L118" s="164" t="s">
        <v>13</v>
      </c>
      <c r="M118" s="21" t="str">
        <f t="shared" ca="1" si="8"/>
        <v>5th Avenue 72</v>
      </c>
      <c r="N118" s="22"/>
      <c r="O118" s="23"/>
      <c r="P118" s="22"/>
      <c r="Q118" s="392">
        <f ca="1">H118</f>
        <v>74</v>
      </c>
      <c r="R118" s="446"/>
    </row>
    <row r="119" spans="1:18" ht="23.25">
      <c r="C119" s="348" t="str" cm="1">
        <f t="array" aca="1" ref="C119" ca="1">INDIRECT("'Worksheet'!$J"&amp;$B109)</f>
        <v>dead</v>
      </c>
      <c r="D119" s="443" t="str" cm="1">
        <f t="array" aca="1" ref="D119" ca="1">IF(INDIRECT("'Worksheet'!$D"&amp;$B109)=1, "Left of Pair", IF(INDIRECT("'Worksheet'!$E"&amp;$B109)=1, "Panel"))</f>
        <v>Panel</v>
      </c>
      <c r="E119" s="443"/>
      <c r="F119" s="443"/>
      <c r="G119" s="374"/>
      <c r="H119" s="374" t="str" cm="1">
        <f t="array" aca="1" ref="H119" ca="1">IF(INDIRECT("'Worksheet'!$F"&amp;$B109)="st","SOR T&amp;B"," ")</f>
        <v xml:space="preserve"> </v>
      </c>
      <c r="I119" s="375"/>
      <c r="L119" s="41" t="str">
        <f ca="1">$C119</f>
        <v>dead</v>
      </c>
      <c r="M119" s="443" t="str" cm="1">
        <f t="array" aca="1" ref="M119" ca="1">IF(INDIRECT("'Worksheet'!$D"&amp;$B109)=1, "Right of Pair", IF(INDIRECT("'Worksheet'!$E"&amp;$B109)=1, "Do Not Use"))</f>
        <v>Do Not Use</v>
      </c>
      <c r="N119" s="443"/>
      <c r="O119" s="443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+Worksheet!$W$4</f>
        <v>Gregory Mill WO#C5364027-00086.01</v>
      </c>
      <c r="E123" s="22"/>
      <c r="F123" s="23"/>
      <c r="G123" s="22"/>
      <c r="H123" s="24"/>
      <c r="I123" s="25">
        <f>+Worksheet!$AR$1</f>
        <v>33517</v>
      </c>
      <c r="J123" s="26"/>
      <c r="L123" s="164" t="s">
        <v>113</v>
      </c>
      <c r="M123" s="21" t="str">
        <f>+Worksheet!$W$4</f>
        <v>Gregory Mill WO#C5364027-00086.01</v>
      </c>
      <c r="N123" s="22"/>
      <c r="O123" s="23"/>
      <c r="P123" s="22"/>
      <c r="Q123" s="24"/>
      <c r="R123" s="25">
        <f>+Worksheet!$AR$1</f>
        <v>33517</v>
      </c>
    </row>
    <row r="124" spans="1:18" ht="32.25">
      <c r="C124" s="165" t="s">
        <v>128</v>
      </c>
      <c r="D124" s="150" cm="1">
        <f t="array" aca="1" ref="D124" ca="1">INDIRECT("'Worksheet'!$K"&amp;$B123)</f>
        <v>34</v>
      </c>
      <c r="E124" s="151" t="s">
        <v>115</v>
      </c>
      <c r="F124" s="150" cm="1">
        <f t="array" aca="1" ref="F124" ca="1">INDIRECT("'Worksheet'!$M"&amp;$B123)</f>
        <v>6.5</v>
      </c>
      <c r="G124" s="151" t="s">
        <v>122</v>
      </c>
      <c r="H124" s="150" cm="1">
        <f t="array" aca="1" ref="H124" ca="1">INDIRECT("'Worksheet'!$O"&amp;$B123)</f>
        <v>57.5</v>
      </c>
      <c r="I124" s="29" t="str">
        <f>+IF(Worksheet!$R$34=1,"Install",IF(Worksheet!$R$34=2,"Ship",IF(Worksheet!$R$34=3,"Deliver",IF(Worksheet!$R$34=4,"Will Call"))))</f>
        <v>Ship</v>
      </c>
      <c r="J124" s="30"/>
      <c r="L124" s="165" t="s">
        <v>128</v>
      </c>
      <c r="M124" s="150">
        <f t="shared" ref="M124:M132" ca="1" si="9">D124</f>
        <v>34</v>
      </c>
      <c r="N124" s="151" t="s">
        <v>115</v>
      </c>
      <c r="O124" s="152">
        <f ca="1">F124</f>
        <v>6.5</v>
      </c>
      <c r="P124" s="151" t="s">
        <v>122</v>
      </c>
      <c r="Q124" s="153">
        <f ca="1">H124</f>
        <v>57.5</v>
      </c>
      <c r="R124" s="29" t="str">
        <f>+IF(Worksheet!$R$34=1,"Install",IF(Worksheet!$R$34=2,"Ship",IF(Worksheet!$R$34=3,"Deliver",IF(Worksheet!$R$34=4,"Will Call"))))</f>
        <v>Ship</v>
      </c>
    </row>
    <row r="125" spans="1:18" ht="12.75" customHeight="1">
      <c r="C125" s="164" t="s">
        <v>121</v>
      </c>
      <c r="D125" s="19">
        <f ca="1">+IF($D133="Left of Pair",((D124+F124)*Worksheet!$AE$7)/2,IF($D133="Panel",(D124+F124)*Worksheet!$AE$7,IF($H133="SOR",D124*2.5+6,IF($H133="SOR T&amp;B",D124*2.5+6))))</f>
        <v>101.25</v>
      </c>
      <c r="E125" s="19" t="s">
        <v>122</v>
      </c>
      <c r="F125" s="369">
        <f ca="1">H124+15</f>
        <v>72.5</v>
      </c>
      <c r="G125" s="447" cm="1">
        <f t="array" aca="1" ref="G125" ca="1">INDIRECT("'Worksheet'!$Y"&amp;$B123)</f>
        <v>0</v>
      </c>
      <c r="H125" s="447"/>
      <c r="I125" s="448"/>
      <c r="L125" s="164" t="s">
        <v>121</v>
      </c>
      <c r="M125">
        <f t="shared" ca="1" si="9"/>
        <v>101.25</v>
      </c>
      <c r="N125" s="19" t="s">
        <v>122</v>
      </c>
      <c r="O125" s="369">
        <f ca="1">F125</f>
        <v>72.5</v>
      </c>
      <c r="P125" s="449">
        <f ca="1">G125</f>
        <v>0</v>
      </c>
      <c r="Q125" s="449"/>
      <c r="R125" s="450"/>
    </row>
    <row r="126" spans="1:18" ht="19.5" customHeight="1">
      <c r="C126" s="166"/>
      <c r="D126" s="161" cm="1">
        <f t="array" aca="1" ref="D126" ca="1">IF($D133="Left of Pair",INDIRECT("'Worksheet'!$Q"&amp;$B123)/2,IF($D133="Panel",INDIRECT("'Worksheet'!$Q"&amp;$B123)))</f>
        <v>1.4000000000000001</v>
      </c>
      <c r="E126" s="42" t="s">
        <v>41</v>
      </c>
      <c r="F126" s="370"/>
      <c r="G126" s="447"/>
      <c r="H126" s="447"/>
      <c r="I126" s="448"/>
      <c r="L126" s="166"/>
      <c r="M126" s="161">
        <f t="shared" ca="1" si="9"/>
        <v>1.4000000000000001</v>
      </c>
      <c r="N126" s="42" t="s">
        <v>41</v>
      </c>
      <c r="O126" s="370"/>
      <c r="P126" s="449"/>
      <c r="Q126" s="451"/>
      <c r="R126" s="452"/>
    </row>
    <row r="127" spans="1:18" ht="15.75">
      <c r="C127" s="164" t="s">
        <v>135</v>
      </c>
      <c r="D127" s="19">
        <f ca="1">+IF(D131="yes",IF($D133="Left of Pair",($D128*$H131),IF($D133="Panel",$D128*$H131,IF($H133="SOR",$D128*$H131," ")))," ")</f>
        <v>99.2</v>
      </c>
      <c r="E127" s="19" t="s">
        <v>122</v>
      </c>
      <c r="F127" s="369">
        <f ca="1">IF(D131="YES",H124+12," ")</f>
        <v>69.5</v>
      </c>
      <c r="H127" s="343" t="s">
        <v>10</v>
      </c>
      <c r="I127" s="371" cm="1">
        <f t="array" aca="1" ref="I127" ca="1">INDIRECT("'Worksheet'!$Q"&amp;B123)</f>
        <v>1.4000000000000001</v>
      </c>
      <c r="L127" s="164" t="s">
        <v>135</v>
      </c>
      <c r="M127">
        <f t="shared" ca="1" si="9"/>
        <v>99.2</v>
      </c>
      <c r="N127" s="19" t="s">
        <v>122</v>
      </c>
      <c r="O127" s="369">
        <f ca="1">F127</f>
        <v>69.5</v>
      </c>
      <c r="P127" s="19"/>
      <c r="Q127" s="343" t="s">
        <v>10</v>
      </c>
      <c r="R127" s="160">
        <f ca="1">I127</f>
        <v>1.4000000000000001</v>
      </c>
    </row>
    <row r="128" spans="1:18">
      <c r="C128" s="167"/>
      <c r="D128" s="161" cm="1">
        <f t="array" aca="1" ref="D128" ca="1">IF(D131="yes",IF($D133="Left of Pair",INDIRECT("'Worksheet'!$S"&amp;$B123)/2,IF($D133="Panel",INDIRECT("'Worksheet'!$S"&amp;$B123)))," ")</f>
        <v>1.6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40.5</v>
      </c>
      <c r="L128" s="167"/>
      <c r="M128" s="344">
        <f t="shared" ca="1" si="9"/>
        <v>1.6</v>
      </c>
      <c r="N128" s="345" t="s">
        <v>41</v>
      </c>
      <c r="O128" s="372"/>
      <c r="P128" s="20"/>
      <c r="Q128" s="343" t="s">
        <v>116</v>
      </c>
      <c r="R128" s="32">
        <f ca="1">I128</f>
        <v>40.5</v>
      </c>
    </row>
    <row r="129" spans="1:18" ht="12.75" customHeight="1">
      <c r="C129" s="168" t="s">
        <v>114</v>
      </c>
      <c r="D129" s="373" t="str" cm="1">
        <f t="array" aca="1" ref="D129" ca="1">INDIRECT("'Worksheet'!$B"&amp;$B123)</f>
        <v>Clerk #1</v>
      </c>
      <c r="E129" s="22"/>
      <c r="F129" s="23"/>
      <c r="G129" s="22"/>
      <c r="H129" s="24"/>
      <c r="I129" s="444" t="str" cm="1">
        <f t="array" aca="1" ref="I129" ca="1">INDIRECT("'Worksheet'!$A"&amp;$B123)</f>
        <v>P1-10</v>
      </c>
      <c r="L129" s="168" t="s">
        <v>114</v>
      </c>
      <c r="M129" s="31" t="str">
        <f t="shared" ca="1" si="9"/>
        <v>Clerk #1</v>
      </c>
      <c r="N129" s="20"/>
      <c r="O129" s="33"/>
      <c r="P129" s="27"/>
      <c r="Q129" s="24"/>
      <c r="R129" s="444" t="str">
        <f ca="1">I129</f>
        <v>P1-10</v>
      </c>
    </row>
    <row r="130" spans="1:18" ht="15.75" customHeight="1">
      <c r="C130" s="164" t="s">
        <v>117</v>
      </c>
      <c r="D130" s="346" cm="1">
        <f t="array" aca="1" ref="D130" ca="1">INDIRECT("'Worksheet'!$H"&amp;$B123)</f>
        <v>3.5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45"/>
      <c r="L130" s="164" t="s">
        <v>117</v>
      </c>
      <c r="M130" s="34">
        <f t="shared" ca="1" si="9"/>
        <v>3.5</v>
      </c>
      <c r="N130" s="20"/>
      <c r="O130" s="169" t="s">
        <v>118</v>
      </c>
      <c r="P130" s="35"/>
      <c r="Q130" s="36" t="str">
        <f>H130</f>
        <v>Yes</v>
      </c>
      <c r="R130" s="445"/>
    </row>
    <row r="131" spans="1:18" ht="15.75" customHeight="1">
      <c r="C131" s="164" t="s">
        <v>119</v>
      </c>
      <c r="D131" s="37" t="str">
        <f ca="1">IF($E131&gt;0,"YES"," ")</f>
        <v>YES</v>
      </c>
      <c r="E131" s="347" t="str" cm="1">
        <f t="array" aca="1" ref="E131" ca="1">INDIRECT("'Worksheet'!$X"&amp;$B123)</f>
        <v xml:space="preserve">Flameguard </v>
      </c>
      <c r="F131" s="39"/>
      <c r="G131" s="20"/>
      <c r="H131" s="391" cm="1">
        <f t="array" aca="1" ref="H131" ca="1">INDIRECT("'Worksheet'!$R"&amp;$B123)</f>
        <v>62</v>
      </c>
      <c r="I131" s="445"/>
      <c r="J131" s="40"/>
      <c r="L131" s="164" t="s">
        <v>119</v>
      </c>
      <c r="M131" s="37" t="str">
        <f t="shared" ca="1" si="9"/>
        <v>YES</v>
      </c>
      <c r="N131" s="38" t="str">
        <f ca="1">E131</f>
        <v xml:space="preserve">Flameguard </v>
      </c>
      <c r="O131" s="39"/>
      <c r="P131" s="20"/>
      <c r="Q131" s="392">
        <f ca="1">H131</f>
        <v>62</v>
      </c>
      <c r="R131" s="445"/>
    </row>
    <row r="132" spans="1:18" ht="15.75" customHeight="1">
      <c r="C132" s="164" t="s">
        <v>13</v>
      </c>
      <c r="D132" s="347" t="str" cm="1">
        <f t="array" aca="1" ref="D132" ca="1">INDIRECT("'Worksheet'!$W"&amp;$B123)</f>
        <v>5th Avenue 72</v>
      </c>
      <c r="E132" s="22"/>
      <c r="F132" s="23"/>
      <c r="G132" s="22"/>
      <c r="H132" s="391" cm="1">
        <f t="array" aca="1" ref="H132" ca="1">INDIRECT("'Worksheet'!$P"&amp;$B123)</f>
        <v>74</v>
      </c>
      <c r="I132" s="446"/>
      <c r="L132" s="164" t="s">
        <v>13</v>
      </c>
      <c r="M132" s="21" t="str">
        <f t="shared" ca="1" si="9"/>
        <v>5th Avenue 72</v>
      </c>
      <c r="N132" s="22"/>
      <c r="O132" s="23"/>
      <c r="P132" s="22"/>
      <c r="Q132" s="392">
        <f ca="1">H132</f>
        <v>74</v>
      </c>
      <c r="R132" s="446"/>
    </row>
    <row r="133" spans="1:18" ht="23.25">
      <c r="C133" s="348" t="str" cm="1">
        <f t="array" aca="1" ref="C133" ca="1">INDIRECT("'Worksheet'!$J"&amp;$B123)</f>
        <v>dead</v>
      </c>
      <c r="D133" s="443" t="str" cm="1">
        <f t="array" aca="1" ref="D133" ca="1">IF(INDIRECT("'Worksheet'!$D"&amp;$B123)=1, "Left of Pair", IF(INDIRECT("'Worksheet'!$E"&amp;$B123)=1, "Panel"))</f>
        <v>Panel</v>
      </c>
      <c r="E133" s="443"/>
      <c r="F133" s="443"/>
      <c r="G133" s="374"/>
      <c r="H133" s="374" t="str" cm="1">
        <f t="array" aca="1" ref="H133" ca="1">IF(INDIRECT("'Worksheet'!$F"&amp;$B123)="st","SOR T&amp;B"," ")</f>
        <v xml:space="preserve"> </v>
      </c>
      <c r="I133" s="375"/>
      <c r="L133" s="41" t="str">
        <f ca="1">$C133</f>
        <v>dead</v>
      </c>
      <c r="M133" s="443" t="str" cm="1">
        <f t="array" aca="1" ref="M133" ca="1">IF(INDIRECT("'Worksheet'!$D"&amp;$B123)=1, "Right of Pair", IF(INDIRECT("'Worksheet'!$E"&amp;$B123)=1, "Do Not Use"))</f>
        <v>Do Not Use</v>
      </c>
      <c r="N133" s="443"/>
      <c r="O133" s="443"/>
      <c r="P133" s="374"/>
      <c r="Q133" s="374"/>
      <c r="R133" s="375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+Worksheet!$W$4</f>
        <v>Gregory Mill WO#C5364027-00086.01</v>
      </c>
      <c r="E137" s="22"/>
      <c r="F137" s="23"/>
      <c r="G137" s="22"/>
      <c r="H137" s="24"/>
      <c r="I137" s="25">
        <f>+Worksheet!$AR$1</f>
        <v>33517</v>
      </c>
      <c r="J137" s="26"/>
      <c r="L137" s="164" t="s">
        <v>113</v>
      </c>
      <c r="M137" s="21" t="str">
        <f>+Worksheet!$W$4</f>
        <v>Gregory Mill WO#C5364027-00086.01</v>
      </c>
      <c r="N137" s="22"/>
      <c r="O137" s="23"/>
      <c r="P137" s="22"/>
      <c r="Q137" s="24"/>
      <c r="R137" s="25">
        <f>+Worksheet!$AR$1</f>
        <v>33517</v>
      </c>
    </row>
    <row r="138" spans="1:18" ht="32.25">
      <c r="C138" s="165" t="s">
        <v>128</v>
      </c>
      <c r="D138" s="150" cm="1">
        <f t="array" aca="1" ref="D138" ca="1">INDIRECT("'Worksheet'!$K"&amp;$B137)</f>
        <v>34</v>
      </c>
      <c r="E138" s="151" t="s">
        <v>115</v>
      </c>
      <c r="F138" s="150" cm="1">
        <f t="array" aca="1" ref="F138" ca="1">INDIRECT("'Worksheet'!$M"&amp;$B137)</f>
        <v>6.5</v>
      </c>
      <c r="G138" s="151" t="s">
        <v>122</v>
      </c>
      <c r="H138" s="150" cm="1">
        <f t="array" aca="1" ref="H138" ca="1">INDIRECT("'Worksheet'!$O"&amp;$B137)</f>
        <v>57.5</v>
      </c>
      <c r="I138" s="29" t="str">
        <f>+IF(Worksheet!$R$34=1,"Install",IF(Worksheet!$R$34=2,"Ship",IF(Worksheet!$R$34=3,"Deliver",IF(Worksheet!$R$34=4,"Will Call"))))</f>
        <v>Ship</v>
      </c>
      <c r="J138" s="30"/>
      <c r="L138" s="165" t="s">
        <v>128</v>
      </c>
      <c r="M138" s="150">
        <f t="shared" ref="M138:M146" ca="1" si="10">D138</f>
        <v>34</v>
      </c>
      <c r="N138" s="151" t="s">
        <v>115</v>
      </c>
      <c r="O138" s="152">
        <f ca="1">F138</f>
        <v>6.5</v>
      </c>
      <c r="P138" s="151" t="s">
        <v>122</v>
      </c>
      <c r="Q138" s="153">
        <f ca="1">H138</f>
        <v>57.5</v>
      </c>
      <c r="R138" s="29" t="str">
        <f>+IF(Worksheet!$R$34=1,"Install",IF(Worksheet!$R$34=2,"Ship",IF(Worksheet!$R$34=3,"Deliver",IF(Worksheet!$R$34=4,"Will Call"))))</f>
        <v>Ship</v>
      </c>
    </row>
    <row r="139" spans="1:18" ht="12.75" customHeight="1">
      <c r="C139" s="164" t="s">
        <v>121</v>
      </c>
      <c r="D139" s="19">
        <f ca="1">+IF($D147="Left of Pair",((D138+F138)*Worksheet!$AE$7)/2,IF($D147="Panel",(D138+F138)*Worksheet!$AE$7,IF($H147="SOR",D138*2.5+6,IF($H147="SOR T&amp;B",D138*2.5+6))))</f>
        <v>101.25</v>
      </c>
      <c r="E139" s="19" t="s">
        <v>122</v>
      </c>
      <c r="F139" s="369">
        <f ca="1">H138+15</f>
        <v>72.5</v>
      </c>
      <c r="G139" s="447" cm="1">
        <f t="array" aca="1" ref="G139" ca="1">INDIRECT("'Worksheet'!$Y"&amp;$B137)</f>
        <v>0</v>
      </c>
      <c r="H139" s="447"/>
      <c r="I139" s="448"/>
      <c r="L139" s="164" t="s">
        <v>121</v>
      </c>
      <c r="M139">
        <f t="shared" ca="1" si="10"/>
        <v>101.25</v>
      </c>
      <c r="N139" s="19" t="s">
        <v>122</v>
      </c>
      <c r="O139" s="369">
        <f ca="1">F139</f>
        <v>72.5</v>
      </c>
      <c r="P139" s="449">
        <f ca="1">G139</f>
        <v>0</v>
      </c>
      <c r="Q139" s="449"/>
      <c r="R139" s="450"/>
    </row>
    <row r="140" spans="1:18" ht="19.5" customHeight="1">
      <c r="C140" s="166"/>
      <c r="D140" s="161" cm="1">
        <f t="array" aca="1" ref="D140" ca="1">IF($D147="Left of Pair",INDIRECT("'Worksheet'!$Q"&amp;$B137)/2,IF($D147="Panel",INDIRECT("'Worksheet'!$Q"&amp;$B137)))</f>
        <v>1.4000000000000001</v>
      </c>
      <c r="E140" s="42" t="s">
        <v>41</v>
      </c>
      <c r="F140" s="370"/>
      <c r="G140" s="447"/>
      <c r="H140" s="447"/>
      <c r="I140" s="448"/>
      <c r="L140" s="166"/>
      <c r="M140" s="161">
        <f t="shared" ca="1" si="10"/>
        <v>1.4000000000000001</v>
      </c>
      <c r="N140" s="42" t="s">
        <v>41</v>
      </c>
      <c r="O140" s="370"/>
      <c r="P140" s="449"/>
      <c r="Q140" s="451"/>
      <c r="R140" s="452"/>
    </row>
    <row r="141" spans="1:18" ht="15.75">
      <c r="C141" s="164" t="s">
        <v>135</v>
      </c>
      <c r="D141" s="19">
        <f ca="1">+IF(D145="yes",IF($D147="Left of Pair",($D142*$H145),IF($D147="Panel",$D142*$H145,IF($H147="SOR",$D142*$H145," ")))," ")</f>
        <v>99.2</v>
      </c>
      <c r="E141" s="19" t="s">
        <v>122</v>
      </c>
      <c r="F141" s="369">
        <f ca="1">IF(D145="YES",H138+12," ")</f>
        <v>69.5</v>
      </c>
      <c r="H141" s="343" t="s">
        <v>10</v>
      </c>
      <c r="I141" s="371" cm="1">
        <f t="array" aca="1" ref="I141" ca="1">INDIRECT("'Worksheet'!$Q"&amp;B137)</f>
        <v>1.4000000000000001</v>
      </c>
      <c r="L141" s="164" t="s">
        <v>135</v>
      </c>
      <c r="M141">
        <f t="shared" ca="1" si="10"/>
        <v>99.2</v>
      </c>
      <c r="N141" s="19" t="s">
        <v>122</v>
      </c>
      <c r="O141" s="369">
        <f ca="1">F141</f>
        <v>69.5</v>
      </c>
      <c r="P141" s="19"/>
      <c r="Q141" s="343" t="s">
        <v>10</v>
      </c>
      <c r="R141" s="160">
        <f ca="1">I141</f>
        <v>1.4000000000000001</v>
      </c>
    </row>
    <row r="142" spans="1:18">
      <c r="C142" s="167"/>
      <c r="D142" s="161" cm="1">
        <f t="array" aca="1" ref="D142" ca="1">IF(D145="yes",IF($D147="Left of Pair",INDIRECT("'Worksheet'!$S"&amp;$B137)/2,IF($D147="Panel",INDIRECT("'Worksheet'!$S"&amp;$B137)))," ")</f>
        <v>1.6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40.5</v>
      </c>
      <c r="L142" s="167"/>
      <c r="M142" s="344">
        <f t="shared" ca="1" si="10"/>
        <v>1.6</v>
      </c>
      <c r="N142" s="345" t="s">
        <v>41</v>
      </c>
      <c r="O142" s="372"/>
      <c r="P142" s="20"/>
      <c r="Q142" s="343" t="s">
        <v>116</v>
      </c>
      <c r="R142" s="32">
        <f ca="1">I142</f>
        <v>40.5</v>
      </c>
    </row>
    <row r="143" spans="1:18" ht="12.75" customHeight="1">
      <c r="C143" s="168" t="s">
        <v>114</v>
      </c>
      <c r="D143" s="373" t="str" cm="1">
        <f t="array" aca="1" ref="D143" ca="1">INDIRECT("'Worksheet'!$B"&amp;$B137)</f>
        <v>Bishop #1</v>
      </c>
      <c r="E143" s="22"/>
      <c r="F143" s="23"/>
      <c r="G143" s="22"/>
      <c r="H143" s="24"/>
      <c r="I143" s="444" t="str" cm="1">
        <f t="array" aca="1" ref="I143" ca="1">INDIRECT("'Worksheet'!$A"&amp;$B137)</f>
        <v>P1-11</v>
      </c>
      <c r="L143" s="168" t="s">
        <v>114</v>
      </c>
      <c r="M143" s="31" t="str">
        <f t="shared" ca="1" si="10"/>
        <v>Bishop #1</v>
      </c>
      <c r="N143" s="20"/>
      <c r="O143" s="33"/>
      <c r="P143" s="27"/>
      <c r="Q143" s="24"/>
      <c r="R143" s="444" t="str">
        <f ca="1">I143</f>
        <v>P1-11</v>
      </c>
    </row>
    <row r="144" spans="1:18" ht="15.75" customHeight="1">
      <c r="C144" s="164" t="s">
        <v>117</v>
      </c>
      <c r="D144" s="346" cm="1">
        <f t="array" aca="1" ref="D144" ca="1">INDIRECT("'Worksheet'!$H"&amp;$B137)</f>
        <v>3.5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45"/>
      <c r="L144" s="164" t="s">
        <v>117</v>
      </c>
      <c r="M144" s="34">
        <f t="shared" ca="1" si="10"/>
        <v>3.5</v>
      </c>
      <c r="N144" s="20"/>
      <c r="O144" s="169" t="s">
        <v>118</v>
      </c>
      <c r="P144" s="35"/>
      <c r="Q144" s="36" t="str">
        <f>H144</f>
        <v>Yes</v>
      </c>
      <c r="R144" s="445"/>
    </row>
    <row r="145" spans="1:18" ht="15.75" customHeight="1">
      <c r="C145" s="164" t="s">
        <v>119</v>
      </c>
      <c r="D145" s="37" t="str">
        <f ca="1">IF($E145&gt;0,"YES"," ")</f>
        <v>YES</v>
      </c>
      <c r="E145" s="347" t="str" cm="1">
        <f t="array" aca="1" ref="E145" ca="1">INDIRECT("'Worksheet'!$X"&amp;$B137)</f>
        <v xml:space="preserve">Flameguard </v>
      </c>
      <c r="F145" s="39"/>
      <c r="G145" s="20"/>
      <c r="H145" s="391" cm="1">
        <f t="array" aca="1" ref="H145" ca="1">INDIRECT("'Worksheet'!$R"&amp;$B137)</f>
        <v>62</v>
      </c>
      <c r="I145" s="445"/>
      <c r="J145" s="40"/>
      <c r="L145" s="164" t="s">
        <v>119</v>
      </c>
      <c r="M145" s="37" t="str">
        <f t="shared" ca="1" si="10"/>
        <v>YES</v>
      </c>
      <c r="N145" s="38" t="str">
        <f ca="1">E145</f>
        <v xml:space="preserve">Flameguard </v>
      </c>
      <c r="O145" s="39"/>
      <c r="P145" s="20"/>
      <c r="Q145" s="392">
        <f ca="1">H145</f>
        <v>62</v>
      </c>
      <c r="R145" s="445"/>
    </row>
    <row r="146" spans="1:18" ht="15.75" customHeight="1">
      <c r="C146" s="164" t="s">
        <v>13</v>
      </c>
      <c r="D146" s="347" t="str" cm="1">
        <f t="array" aca="1" ref="D146" ca="1">INDIRECT("'Worksheet'!$W"&amp;$B137)</f>
        <v>5th Avenue 72</v>
      </c>
      <c r="E146" s="22"/>
      <c r="F146" s="23"/>
      <c r="G146" s="22"/>
      <c r="H146" s="391" cm="1">
        <f t="array" aca="1" ref="H146" ca="1">INDIRECT("'Worksheet'!$P"&amp;$B137)</f>
        <v>74</v>
      </c>
      <c r="I146" s="446"/>
      <c r="L146" s="164" t="s">
        <v>13</v>
      </c>
      <c r="M146" s="21" t="str">
        <f t="shared" ca="1" si="10"/>
        <v>5th Avenue 72</v>
      </c>
      <c r="N146" s="22"/>
      <c r="O146" s="23"/>
      <c r="P146" s="22"/>
      <c r="Q146" s="392">
        <f ca="1">H146</f>
        <v>74</v>
      </c>
      <c r="R146" s="446"/>
    </row>
    <row r="147" spans="1:18" ht="23.25">
      <c r="C147" s="348" t="str" cm="1">
        <f t="array" aca="1" ref="C147" ca="1">INDIRECT("'Worksheet'!$J"&amp;$B137)</f>
        <v>dead</v>
      </c>
      <c r="D147" s="443" t="str" cm="1">
        <f t="array" aca="1" ref="D147" ca="1">IF(INDIRECT("'Worksheet'!$D"&amp;$B137)=1, "Left of Pair", IF(INDIRECT("'Worksheet'!$E"&amp;$B137)=1, "Panel"))</f>
        <v>Panel</v>
      </c>
      <c r="E147" s="443"/>
      <c r="F147" s="443"/>
      <c r="G147" s="374"/>
      <c r="H147" s="374" t="str" cm="1">
        <f t="array" aca="1" ref="H147" ca="1">IF(INDIRECT("'Worksheet'!$F"&amp;$B137)="st","SOR T&amp;B"," ")</f>
        <v xml:space="preserve"> </v>
      </c>
      <c r="I147" s="375"/>
      <c r="L147" s="41" t="str">
        <f ca="1">$C147</f>
        <v>dead</v>
      </c>
      <c r="M147" s="443" t="str" cm="1">
        <f t="array" aca="1" ref="M147" ca="1">IF(INDIRECT("'Worksheet'!$D"&amp;$B137)=1, "Right of Pair", IF(INDIRECT("'Worksheet'!$E"&amp;$B137)=1, "Do Not Use"))</f>
        <v>Do Not Use</v>
      </c>
      <c r="N147" s="443"/>
      <c r="O147" s="443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+Worksheet!$W$4</f>
        <v>Gregory Mill WO#C5364027-00086.01</v>
      </c>
      <c r="E151" s="22"/>
      <c r="F151" s="23"/>
      <c r="G151" s="22"/>
      <c r="H151" s="24"/>
      <c r="I151" s="25">
        <f>+Worksheet!$AR$1</f>
        <v>33517</v>
      </c>
      <c r="J151" s="26"/>
      <c r="L151" s="164" t="s">
        <v>113</v>
      </c>
      <c r="M151" s="21" t="str">
        <f>+Worksheet!$W$4</f>
        <v>Gregory Mill WO#C5364027-00086.01</v>
      </c>
      <c r="N151" s="22"/>
      <c r="O151" s="23"/>
      <c r="P151" s="22"/>
      <c r="Q151" s="24"/>
      <c r="R151" s="25">
        <f>+Worksheet!$AR$1</f>
        <v>33517</v>
      </c>
    </row>
    <row r="152" spans="1:18" ht="32.25">
      <c r="C152" s="165" t="s">
        <v>128</v>
      </c>
      <c r="D152" s="150" cm="1">
        <f t="array" aca="1" ref="D152" ca="1">INDIRECT("'Worksheet'!$K"&amp;$B151)</f>
        <v>34</v>
      </c>
      <c r="E152" s="151" t="s">
        <v>115</v>
      </c>
      <c r="F152" s="150" cm="1">
        <f t="array" aca="1" ref="F152" ca="1">INDIRECT("'Worksheet'!$M"&amp;$B151)</f>
        <v>6.5</v>
      </c>
      <c r="G152" s="151" t="s">
        <v>122</v>
      </c>
      <c r="H152" s="150" cm="1">
        <f t="array" aca="1" ref="H152" ca="1">INDIRECT("'Worksheet'!$O"&amp;$B151)</f>
        <v>58</v>
      </c>
      <c r="I152" s="29" t="str">
        <f>+IF(Worksheet!$R$34=1,"Install",IF(Worksheet!$R$34=2,"Ship",IF(Worksheet!$R$34=3,"Deliver",IF(Worksheet!$R$34=4,"Will Call"))))</f>
        <v>Ship</v>
      </c>
      <c r="J152" s="30"/>
      <c r="L152" s="165" t="s">
        <v>128</v>
      </c>
      <c r="M152" s="150">
        <f t="shared" ref="M152:M160" ca="1" si="11">D152</f>
        <v>34</v>
      </c>
      <c r="N152" s="151" t="s">
        <v>115</v>
      </c>
      <c r="O152" s="152">
        <f ca="1">F152</f>
        <v>6.5</v>
      </c>
      <c r="P152" s="151" t="s">
        <v>122</v>
      </c>
      <c r="Q152" s="153">
        <f ca="1">H152</f>
        <v>58</v>
      </c>
      <c r="R152" s="29" t="str">
        <f>+IF(Worksheet!$R$34=1,"Install",IF(Worksheet!$R$34=2,"Ship",IF(Worksheet!$R$34=3,"Deliver",IF(Worksheet!$R$34=4,"Will Call"))))</f>
        <v>Ship</v>
      </c>
    </row>
    <row r="153" spans="1:18" ht="12.75" customHeight="1">
      <c r="C153" s="164" t="s">
        <v>121</v>
      </c>
      <c r="D153" s="19">
        <f ca="1">+IF($D161="Left of Pair",((D152+F152)*Worksheet!$AE$7)/2,IF($D161="Panel",(D152+F152)*Worksheet!$AE$7,IF($H161="SOR",D152*2.5+6,IF($H161="SOR T&amp;B",D152*2.5+6))))</f>
        <v>101.25</v>
      </c>
      <c r="E153" s="19" t="s">
        <v>122</v>
      </c>
      <c r="F153" s="369">
        <f ca="1">H152+15</f>
        <v>73</v>
      </c>
      <c r="G153" s="447" cm="1">
        <f t="array" aca="1" ref="G153" ca="1">INDIRECT("'Worksheet'!$Y"&amp;$B151)</f>
        <v>0</v>
      </c>
      <c r="H153" s="447"/>
      <c r="I153" s="448"/>
      <c r="L153" s="164" t="s">
        <v>121</v>
      </c>
      <c r="M153">
        <f t="shared" ca="1" si="11"/>
        <v>101.25</v>
      </c>
      <c r="N153" s="19" t="s">
        <v>122</v>
      </c>
      <c r="O153" s="369">
        <f ca="1">F153</f>
        <v>73</v>
      </c>
      <c r="P153" s="449">
        <f ca="1">G153</f>
        <v>0</v>
      </c>
      <c r="Q153" s="449"/>
      <c r="R153" s="450"/>
    </row>
    <row r="154" spans="1:18" ht="19.5" customHeight="1">
      <c r="C154" s="166"/>
      <c r="D154" s="161" cm="1">
        <f t="array" aca="1" ref="D154" ca="1">IF($D161="Left of Pair",INDIRECT("'Worksheet'!$Q"&amp;$B151)/2,IF($D161="Panel",INDIRECT("'Worksheet'!$Q"&amp;$B151)))</f>
        <v>1.4000000000000001</v>
      </c>
      <c r="E154" s="42" t="s">
        <v>41</v>
      </c>
      <c r="F154" s="370"/>
      <c r="G154" s="447"/>
      <c r="H154" s="447"/>
      <c r="I154" s="448"/>
      <c r="L154" s="166"/>
      <c r="M154" s="161">
        <f t="shared" ca="1" si="11"/>
        <v>1.4000000000000001</v>
      </c>
      <c r="N154" s="42" t="s">
        <v>41</v>
      </c>
      <c r="O154" s="370"/>
      <c r="P154" s="449"/>
      <c r="Q154" s="451"/>
      <c r="R154" s="452"/>
    </row>
    <row r="155" spans="1:18" ht="15.75">
      <c r="C155" s="164" t="s">
        <v>135</v>
      </c>
      <c r="D155" s="19">
        <f ca="1">+IF(D159="yes",IF($D161="Left of Pair",($D156*$H159),IF($D161="Panel",$D156*$H159,IF($H161="SOR",$D156*$H159," ")))," ")</f>
        <v>99.2</v>
      </c>
      <c r="E155" s="19" t="s">
        <v>122</v>
      </c>
      <c r="F155" s="369">
        <f ca="1">IF(D159="YES",H152+12," ")</f>
        <v>70</v>
      </c>
      <c r="H155" s="343" t="s">
        <v>10</v>
      </c>
      <c r="I155" s="371" cm="1">
        <f t="array" aca="1" ref="I155" ca="1">INDIRECT("'Worksheet'!$Q"&amp;B151)</f>
        <v>1.4000000000000001</v>
      </c>
      <c r="L155" s="164" t="s">
        <v>135</v>
      </c>
      <c r="M155">
        <f t="shared" ca="1" si="11"/>
        <v>99.2</v>
      </c>
      <c r="N155" s="19" t="s">
        <v>122</v>
      </c>
      <c r="O155" s="369">
        <f ca="1">F155</f>
        <v>70</v>
      </c>
      <c r="P155" s="19"/>
      <c r="Q155" s="343" t="s">
        <v>10</v>
      </c>
      <c r="R155" s="160">
        <f ca="1">I155</f>
        <v>1.4000000000000001</v>
      </c>
    </row>
    <row r="156" spans="1:18">
      <c r="C156" s="167"/>
      <c r="D156" s="161" cm="1">
        <f t="array" aca="1" ref="D156" ca="1">IF(D159="yes",IF($D161="Left of Pair",INDIRECT("'Worksheet'!$S"&amp;$B151)/2,IF($D161="Panel",INDIRECT("'Worksheet'!$S"&amp;$B151)))," ")</f>
        <v>1.6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40.5</v>
      </c>
      <c r="L156" s="167"/>
      <c r="M156" s="344">
        <f t="shared" ca="1" si="11"/>
        <v>1.6</v>
      </c>
      <c r="N156" s="345" t="s">
        <v>41</v>
      </c>
      <c r="O156" s="372"/>
      <c r="P156" s="20"/>
      <c r="Q156" s="343" t="s">
        <v>116</v>
      </c>
      <c r="R156" s="32">
        <f ca="1">I156</f>
        <v>40.5</v>
      </c>
    </row>
    <row r="157" spans="1:18" ht="12.75" customHeight="1">
      <c r="C157" s="168" t="s">
        <v>114</v>
      </c>
      <c r="D157" s="373" t="str" cm="1">
        <f t="array" aca="1" ref="D157" ca="1">INDIRECT("'Worksheet'!$B"&amp;$B151)</f>
        <v>YW</v>
      </c>
      <c r="E157" s="22"/>
      <c r="F157" s="23"/>
      <c r="G157" s="22"/>
      <c r="H157" s="24"/>
      <c r="I157" s="444" t="str" cm="1">
        <f t="array" aca="1" ref="I157" ca="1">INDIRECT("'Worksheet'!$A"&amp;$B151)</f>
        <v>P1-12</v>
      </c>
      <c r="L157" s="168" t="s">
        <v>114</v>
      </c>
      <c r="M157" s="31" t="str">
        <f t="shared" ca="1" si="11"/>
        <v>YW</v>
      </c>
      <c r="N157" s="20"/>
      <c r="O157" s="33"/>
      <c r="P157" s="27"/>
      <c r="Q157" s="24"/>
      <c r="R157" s="444" t="str">
        <f ca="1">I157</f>
        <v>P1-12</v>
      </c>
    </row>
    <row r="158" spans="1:18" ht="15.75" customHeight="1">
      <c r="C158" s="164" t="s">
        <v>117</v>
      </c>
      <c r="D158" s="346" cm="1">
        <f t="array" aca="1" ref="D158" ca="1">INDIRECT("'Worksheet'!$H"&amp;$B151)</f>
        <v>3.5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45"/>
      <c r="L158" s="164" t="s">
        <v>117</v>
      </c>
      <c r="M158" s="34">
        <f t="shared" ca="1" si="11"/>
        <v>3.5</v>
      </c>
      <c r="N158" s="20"/>
      <c r="O158" s="169" t="s">
        <v>118</v>
      </c>
      <c r="P158" s="35"/>
      <c r="Q158" s="36" t="str">
        <f>H158</f>
        <v>Yes</v>
      </c>
      <c r="R158" s="445"/>
    </row>
    <row r="159" spans="1:18" ht="15.75" customHeight="1">
      <c r="C159" s="164" t="s">
        <v>119</v>
      </c>
      <c r="D159" s="37" t="str">
        <f ca="1">IF($E159&gt;0,"YES"," ")</f>
        <v>YES</v>
      </c>
      <c r="E159" s="347" t="str" cm="1">
        <f t="array" aca="1" ref="E159" ca="1">INDIRECT("'Worksheet'!$X"&amp;$B151)</f>
        <v xml:space="preserve">Flameguard </v>
      </c>
      <c r="F159" s="39"/>
      <c r="G159" s="20"/>
      <c r="H159" s="391" cm="1">
        <f t="array" aca="1" ref="H159" ca="1">INDIRECT("'Worksheet'!$R"&amp;$B151)</f>
        <v>62</v>
      </c>
      <c r="I159" s="445"/>
      <c r="J159" s="40"/>
      <c r="L159" s="164" t="s">
        <v>119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92">
        <f ca="1">H159</f>
        <v>62</v>
      </c>
      <c r="R159" s="445"/>
    </row>
    <row r="160" spans="1:18" ht="15.75" customHeight="1">
      <c r="C160" s="164" t="s">
        <v>13</v>
      </c>
      <c r="D160" s="347" t="str" cm="1">
        <f t="array" aca="1" ref="D160" ca="1">INDIRECT("'Worksheet'!$W"&amp;$B151)</f>
        <v>5th Avenue 72</v>
      </c>
      <c r="E160" s="22"/>
      <c r="F160" s="23"/>
      <c r="G160" s="22"/>
      <c r="H160" s="391" cm="1">
        <f t="array" aca="1" ref="H160" ca="1">INDIRECT("'Worksheet'!$P"&amp;$B151)</f>
        <v>74</v>
      </c>
      <c r="I160" s="446"/>
      <c r="L160" s="164" t="s">
        <v>13</v>
      </c>
      <c r="M160" s="21" t="str">
        <f t="shared" ca="1" si="11"/>
        <v>5th Avenue 72</v>
      </c>
      <c r="N160" s="22"/>
      <c r="O160" s="23"/>
      <c r="P160" s="22"/>
      <c r="Q160" s="392">
        <f ca="1">H160</f>
        <v>74</v>
      </c>
      <c r="R160" s="446"/>
    </row>
    <row r="161" spans="1:18" ht="23.25">
      <c r="C161" s="348" t="str" cm="1">
        <f t="array" aca="1" ref="C161" ca="1">INDIRECT("'Worksheet'!$J"&amp;$B151)</f>
        <v>dead</v>
      </c>
      <c r="D161" s="443" t="str" cm="1">
        <f t="array" aca="1" ref="D161" ca="1">IF(INDIRECT("'Worksheet'!$D"&amp;$B151)=1, "Left of Pair", IF(INDIRECT("'Worksheet'!$E"&amp;$B151)=1, "Panel"))</f>
        <v>Panel</v>
      </c>
      <c r="E161" s="443"/>
      <c r="F161" s="443"/>
      <c r="G161" s="374"/>
      <c r="H161" s="374" t="str" cm="1">
        <f t="array" aca="1" ref="H161" ca="1">IF(INDIRECT("'Worksheet'!$F"&amp;$B151)="st","SOR T&amp;B"," ")</f>
        <v xml:space="preserve"> </v>
      </c>
      <c r="I161" s="375"/>
      <c r="L161" s="41" t="str">
        <f ca="1">$C161</f>
        <v>dead</v>
      </c>
      <c r="M161" s="443" t="str" cm="1">
        <f t="array" aca="1" ref="M161" ca="1">IF(INDIRECT("'Worksheet'!$D"&amp;$B151)=1, "Right of Pair", IF(INDIRECT("'Worksheet'!$E"&amp;$B151)=1, "Do Not Use"))</f>
        <v>Do Not Use</v>
      </c>
      <c r="N161" s="443"/>
      <c r="O161" s="443"/>
      <c r="P161" s="374"/>
      <c r="Q161" s="374"/>
      <c r="R161" s="375"/>
    </row>
    <row r="163" spans="1:18" ht="19.5">
      <c r="A163" t="s">
        <v>36</v>
      </c>
      <c r="B163">
        <v>23</v>
      </c>
      <c r="C163" s="164" t="s">
        <v>113</v>
      </c>
      <c r="D163" s="21" t="str">
        <f>+Worksheet!$W$4</f>
        <v>Gregory Mill WO#C5364027-00086.01</v>
      </c>
      <c r="E163" s="22"/>
      <c r="F163" s="23"/>
      <c r="G163" s="22"/>
      <c r="H163" s="24"/>
      <c r="I163" s="25">
        <f>+Worksheet!$AR$1</f>
        <v>33517</v>
      </c>
      <c r="J163" s="26"/>
      <c r="L163" s="164" t="s">
        <v>113</v>
      </c>
      <c r="M163" s="21" t="str">
        <f>+Worksheet!$W$4</f>
        <v>Gregory Mill WO#C5364027-00086.01</v>
      </c>
      <c r="N163" s="22"/>
      <c r="O163" s="23"/>
      <c r="P163" s="22"/>
      <c r="Q163" s="24"/>
      <c r="R163" s="25">
        <f>+Worksheet!$AR$1</f>
        <v>33517</v>
      </c>
    </row>
    <row r="164" spans="1:18" ht="32.25">
      <c r="C164" s="165" t="s">
        <v>128</v>
      </c>
      <c r="D164" s="150" cm="1">
        <f t="array" aca="1" ref="D164" ca="1">INDIRECT("'Worksheet'!$K"&amp;$B163)</f>
        <v>34</v>
      </c>
      <c r="E164" s="151" t="s">
        <v>115</v>
      </c>
      <c r="F164" s="150" cm="1">
        <f t="array" aca="1" ref="F164" ca="1">INDIRECT("'Worksheet'!$M"&amp;$B163)</f>
        <v>6.5</v>
      </c>
      <c r="G164" s="151" t="s">
        <v>122</v>
      </c>
      <c r="H164" s="150" cm="1">
        <f t="array" aca="1" ref="H164" ca="1">INDIRECT("'Worksheet'!$O"&amp;$B163)</f>
        <v>58</v>
      </c>
      <c r="I164" s="29" t="str">
        <f>+IF(Worksheet!$R$34=1,"Install",IF(Worksheet!$R$34=2,"Ship",IF(Worksheet!$R$34=3,"Deliver",IF(Worksheet!$R$34=4,"Will Call"))))</f>
        <v>Ship</v>
      </c>
      <c r="J164" s="30"/>
      <c r="L164" s="165" t="s">
        <v>128</v>
      </c>
      <c r="M164" s="150">
        <f t="shared" ref="M164:M172" ca="1" si="12">D164</f>
        <v>34</v>
      </c>
      <c r="N164" s="151" t="s">
        <v>115</v>
      </c>
      <c r="O164" s="152">
        <f ca="1">F164</f>
        <v>6.5</v>
      </c>
      <c r="P164" s="151" t="s">
        <v>122</v>
      </c>
      <c r="Q164" s="153">
        <f ca="1">H164</f>
        <v>58</v>
      </c>
      <c r="R164" s="29" t="str">
        <f>+IF(Worksheet!$R$34=1,"Install",IF(Worksheet!$R$34=2,"Ship",IF(Worksheet!$R$34=3,"Deliver",IF(Worksheet!$R$34=4,"Will Call"))))</f>
        <v>Ship</v>
      </c>
    </row>
    <row r="165" spans="1:18" ht="12.75" customHeight="1">
      <c r="C165" s="164" t="s">
        <v>121</v>
      </c>
      <c r="D165" s="19">
        <f ca="1">+IF($D173="Left of Pair",((D164+F164)*Worksheet!$AE$7)/2,IF($D173="Panel",(D164+F164)*Worksheet!$AE$7,IF($H173="SOR",D164*2.5+6,IF($H173="SOR T&amp;B",D164*2.5+6))))</f>
        <v>101.25</v>
      </c>
      <c r="E165" s="19" t="s">
        <v>122</v>
      </c>
      <c r="F165" s="369">
        <f ca="1">H164+15</f>
        <v>73</v>
      </c>
      <c r="G165" s="447" cm="1">
        <f t="array" aca="1" ref="G165" ca="1">INDIRECT("'Worksheet'!$Y"&amp;$B163)</f>
        <v>0</v>
      </c>
      <c r="H165" s="447"/>
      <c r="I165" s="448"/>
      <c r="L165" s="164" t="s">
        <v>121</v>
      </c>
      <c r="M165">
        <f t="shared" ca="1" si="12"/>
        <v>101.25</v>
      </c>
      <c r="N165" s="19" t="s">
        <v>122</v>
      </c>
      <c r="O165" s="369">
        <f ca="1">F165</f>
        <v>73</v>
      </c>
      <c r="P165" s="449">
        <f ca="1">G165</f>
        <v>0</v>
      </c>
      <c r="Q165" s="449"/>
      <c r="R165" s="450"/>
    </row>
    <row r="166" spans="1:18" ht="19.5" customHeight="1">
      <c r="C166" s="166"/>
      <c r="D166" s="161" cm="1">
        <f t="array" aca="1" ref="D166" ca="1">IF($D173="Left of Pair",INDIRECT("'Worksheet'!$Q"&amp;$B163)/2,IF($D173="Panel",INDIRECT("'Worksheet'!$Q"&amp;$B163)))</f>
        <v>1.4000000000000001</v>
      </c>
      <c r="E166" s="42" t="s">
        <v>41</v>
      </c>
      <c r="F166" s="370"/>
      <c r="G166" s="447"/>
      <c r="H166" s="447"/>
      <c r="I166" s="448"/>
      <c r="L166" s="166"/>
      <c r="M166" s="161">
        <f t="shared" ca="1" si="12"/>
        <v>1.4000000000000001</v>
      </c>
      <c r="N166" s="42" t="s">
        <v>41</v>
      </c>
      <c r="O166" s="370"/>
      <c r="P166" s="449"/>
      <c r="Q166" s="451"/>
      <c r="R166" s="452"/>
    </row>
    <row r="167" spans="1:18" ht="15.75">
      <c r="C167" s="164" t="s">
        <v>135</v>
      </c>
      <c r="D167" s="19">
        <f ca="1">+IF(D171="yes",IF($D173="Left of Pair",($D168*$H171),IF($D173="Panel",$D168*$H171,IF($H173="SOR",$D168*$H171," ")))," ")</f>
        <v>99.2</v>
      </c>
      <c r="E167" s="19" t="s">
        <v>122</v>
      </c>
      <c r="F167" s="369">
        <f ca="1">IF(D171="YES",H164+12," ")</f>
        <v>70</v>
      </c>
      <c r="H167" s="343" t="s">
        <v>10</v>
      </c>
      <c r="I167" s="371" cm="1">
        <f t="array" aca="1" ref="I167" ca="1">INDIRECT("'Worksheet'!$Q"&amp;B163)</f>
        <v>1.4000000000000001</v>
      </c>
      <c r="L167" s="164" t="s">
        <v>135</v>
      </c>
      <c r="M167">
        <f t="shared" ca="1" si="12"/>
        <v>99.2</v>
      </c>
      <c r="N167" s="19" t="s">
        <v>122</v>
      </c>
      <c r="O167" s="369">
        <f ca="1">F167</f>
        <v>70</v>
      </c>
      <c r="P167" s="19"/>
      <c r="Q167" s="343" t="s">
        <v>10</v>
      </c>
      <c r="R167" s="160">
        <f ca="1">I167</f>
        <v>1.4000000000000001</v>
      </c>
    </row>
    <row r="168" spans="1:18">
      <c r="C168" s="167"/>
      <c r="D168" s="161" cm="1">
        <f t="array" aca="1" ref="D168" ca="1">IF(D171="yes",IF($D173="Left of Pair",INDIRECT("'Worksheet'!$S"&amp;$B163)/2,IF($D173="Panel",INDIRECT("'Worksheet'!$S"&amp;$B163)))," ")</f>
        <v>1.6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40.5</v>
      </c>
      <c r="L168" s="167"/>
      <c r="M168" s="344">
        <f t="shared" ca="1" si="12"/>
        <v>1.6</v>
      </c>
      <c r="N168" s="345" t="s">
        <v>41</v>
      </c>
      <c r="O168" s="372"/>
      <c r="P168" s="20"/>
      <c r="Q168" s="343" t="s">
        <v>116</v>
      </c>
      <c r="R168" s="32">
        <f ca="1">I168</f>
        <v>40.5</v>
      </c>
    </row>
    <row r="169" spans="1:18" ht="12.75" customHeight="1">
      <c r="C169" s="168" t="s">
        <v>114</v>
      </c>
      <c r="D169" s="373" t="str" cm="1">
        <f t="array" aca="1" ref="D169" ca="1">INDIRECT("'Worksheet'!$B"&amp;$B163)</f>
        <v>YW</v>
      </c>
      <c r="E169" s="22"/>
      <c r="F169" s="23"/>
      <c r="G169" s="22"/>
      <c r="H169" s="24"/>
      <c r="I169" s="444" t="str" cm="1">
        <f t="array" aca="1" ref="I169" ca="1">INDIRECT("'Worksheet'!$A"&amp;$B163)</f>
        <v>P1-13</v>
      </c>
      <c r="L169" s="168" t="s">
        <v>114</v>
      </c>
      <c r="M169" s="31" t="str">
        <f t="shared" ca="1" si="12"/>
        <v>YW</v>
      </c>
      <c r="N169" s="20"/>
      <c r="O169" s="33"/>
      <c r="P169" s="27"/>
      <c r="Q169" s="24"/>
      <c r="R169" s="444" t="str">
        <f ca="1">I169</f>
        <v>P1-13</v>
      </c>
    </row>
    <row r="170" spans="1:18" ht="15.75" customHeight="1">
      <c r="C170" s="164" t="s">
        <v>117</v>
      </c>
      <c r="D170" s="346" cm="1">
        <f t="array" aca="1" ref="D170" ca="1">INDIRECT("'Worksheet'!$H"&amp;$B163)</f>
        <v>3.5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45"/>
      <c r="L170" s="164" t="s">
        <v>117</v>
      </c>
      <c r="M170" s="34">
        <f t="shared" ca="1" si="12"/>
        <v>3.5</v>
      </c>
      <c r="N170" s="20"/>
      <c r="O170" s="169" t="s">
        <v>118</v>
      </c>
      <c r="P170" s="35"/>
      <c r="Q170" s="36" t="str">
        <f>H170</f>
        <v>Yes</v>
      </c>
      <c r="R170" s="445"/>
    </row>
    <row r="171" spans="1:18" ht="15.75" customHeight="1">
      <c r="C171" s="164" t="s">
        <v>119</v>
      </c>
      <c r="D171" s="37" t="str">
        <f ca="1">IF($E171&gt;0,"YES"," ")</f>
        <v>YES</v>
      </c>
      <c r="E171" s="347" t="str" cm="1">
        <f t="array" aca="1" ref="E171" ca="1">INDIRECT("'Worksheet'!$X"&amp;$B163)</f>
        <v xml:space="preserve">Flameguard </v>
      </c>
      <c r="F171" s="39"/>
      <c r="G171" s="20"/>
      <c r="H171" s="391" cm="1">
        <f t="array" aca="1" ref="H171" ca="1">INDIRECT("'Worksheet'!$R"&amp;$B163)</f>
        <v>62</v>
      </c>
      <c r="I171" s="445"/>
      <c r="J171" s="40"/>
      <c r="L171" s="164" t="s">
        <v>119</v>
      </c>
      <c r="M171" s="37" t="str">
        <f t="shared" ca="1" si="12"/>
        <v>YES</v>
      </c>
      <c r="N171" s="38" t="str">
        <f ca="1">E171</f>
        <v xml:space="preserve">Flameguard </v>
      </c>
      <c r="O171" s="39"/>
      <c r="P171" s="20"/>
      <c r="Q171" s="392">
        <f ca="1">H171</f>
        <v>62</v>
      </c>
      <c r="R171" s="445"/>
    </row>
    <row r="172" spans="1:18" ht="15.75" customHeight="1">
      <c r="C172" s="164" t="s">
        <v>13</v>
      </c>
      <c r="D172" s="347" t="str" cm="1">
        <f t="array" aca="1" ref="D172" ca="1">INDIRECT("'Worksheet'!$W"&amp;$B163)</f>
        <v>5th Avenue 72</v>
      </c>
      <c r="E172" s="22"/>
      <c r="F172" s="23"/>
      <c r="G172" s="22"/>
      <c r="H172" s="391" cm="1">
        <f t="array" aca="1" ref="H172" ca="1">INDIRECT("'Worksheet'!$P"&amp;$B163)</f>
        <v>74</v>
      </c>
      <c r="I172" s="446"/>
      <c r="L172" s="164" t="s">
        <v>13</v>
      </c>
      <c r="M172" s="21" t="str">
        <f t="shared" ca="1" si="12"/>
        <v>5th Avenue 72</v>
      </c>
      <c r="N172" s="22"/>
      <c r="O172" s="23"/>
      <c r="P172" s="22"/>
      <c r="Q172" s="392">
        <f ca="1">H172</f>
        <v>74</v>
      </c>
      <c r="R172" s="446"/>
    </row>
    <row r="173" spans="1:18" ht="23.25">
      <c r="C173" s="348" t="str" cm="1">
        <f t="array" aca="1" ref="C173" ca="1">INDIRECT("'Worksheet'!$J"&amp;$B163)</f>
        <v>dead</v>
      </c>
      <c r="D173" s="443" t="str" cm="1">
        <f t="array" aca="1" ref="D173" ca="1">IF(INDIRECT("'Worksheet'!$D"&amp;$B163)=1, "Left of Pair", IF(INDIRECT("'Worksheet'!$E"&amp;$B163)=1, "Panel"))</f>
        <v>Panel</v>
      </c>
      <c r="E173" s="443"/>
      <c r="F173" s="443"/>
      <c r="G173" s="374"/>
      <c r="H173" s="374" t="str" cm="1">
        <f t="array" aca="1" ref="H173" ca="1">IF(INDIRECT("'Worksheet'!$F"&amp;$B163)="st","SOR T&amp;B"," ")</f>
        <v xml:space="preserve"> </v>
      </c>
      <c r="I173" s="375"/>
      <c r="L173" s="41" t="str">
        <f ca="1">$C173</f>
        <v>dead</v>
      </c>
      <c r="M173" s="443" t="str" cm="1">
        <f t="array" aca="1" ref="M173" ca="1">IF(INDIRECT("'Worksheet'!$D"&amp;$B163)=1, "Right of Pair", IF(INDIRECT("'Worksheet'!$E"&amp;$B163)=1, "Do Not Use"))</f>
        <v>Do Not Use</v>
      </c>
      <c r="N173" s="443"/>
      <c r="O173" s="443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+Worksheet!$W$4</f>
        <v>Gregory Mill WO#C5364027-00086.01</v>
      </c>
      <c r="E177" s="22"/>
      <c r="F177" s="23"/>
      <c r="G177" s="22"/>
      <c r="H177" s="24"/>
      <c r="I177" s="25">
        <f>+Worksheet!$AR$1</f>
        <v>33517</v>
      </c>
      <c r="J177" s="26"/>
      <c r="L177" s="164" t="s">
        <v>113</v>
      </c>
      <c r="M177" s="21" t="str">
        <f>+Worksheet!$W$4</f>
        <v>Gregory Mill WO#C5364027-00086.01</v>
      </c>
      <c r="N177" s="22"/>
      <c r="O177" s="23"/>
      <c r="P177" s="22"/>
      <c r="Q177" s="24"/>
      <c r="R177" s="25">
        <f>+Worksheet!$AR$1</f>
        <v>33517</v>
      </c>
    </row>
    <row r="178" spans="1:18" ht="32.25">
      <c r="C178" s="165" t="s">
        <v>128</v>
      </c>
      <c r="D178" s="150" cm="1">
        <f t="array" aca="1" ref="D178" ca="1">INDIRECT("'Worksheet'!$K"&amp;$B177)</f>
        <v>34</v>
      </c>
      <c r="E178" s="151" t="s">
        <v>115</v>
      </c>
      <c r="F178" s="150" cm="1">
        <f t="array" aca="1" ref="F178" ca="1">INDIRECT("'Worksheet'!$M"&amp;$B177)</f>
        <v>6.5</v>
      </c>
      <c r="G178" s="151" t="s">
        <v>122</v>
      </c>
      <c r="H178" s="150" cm="1">
        <f t="array" aca="1" ref="H178" ca="1">INDIRECT("'Worksheet'!$O"&amp;$B177)</f>
        <v>58</v>
      </c>
      <c r="I178" s="29" t="str">
        <f>+IF(Worksheet!$R$34=1,"Install",IF(Worksheet!$R$34=2,"Ship",IF(Worksheet!$R$34=3,"Deliver",IF(Worksheet!$R$34=4,"Will Call"))))</f>
        <v>Ship</v>
      </c>
      <c r="J178" s="30"/>
      <c r="L178" s="165" t="s">
        <v>128</v>
      </c>
      <c r="M178" s="150">
        <f t="shared" ref="M178:M186" ca="1" si="13">D178</f>
        <v>34</v>
      </c>
      <c r="N178" s="151" t="s">
        <v>115</v>
      </c>
      <c r="O178" s="152">
        <f ca="1">F178</f>
        <v>6.5</v>
      </c>
      <c r="P178" s="151" t="s">
        <v>122</v>
      </c>
      <c r="Q178" s="153">
        <f ca="1">H178</f>
        <v>58</v>
      </c>
      <c r="R178" s="29" t="str">
        <f>+IF(Worksheet!$R$34=1,"Install",IF(Worksheet!$R$34=2,"Ship",IF(Worksheet!$R$34=3,"Deliver",IF(Worksheet!$R$34=4,"Will Call"))))</f>
        <v>Ship</v>
      </c>
    </row>
    <row r="179" spans="1:18" ht="12.75" customHeight="1">
      <c r="C179" s="164" t="s">
        <v>121</v>
      </c>
      <c r="D179" s="19">
        <f ca="1">+IF($D187="Left of Pair",((D178+F178)*Worksheet!$AE$7)/2,IF($D187="Panel",(D178+F178)*Worksheet!$AE$7,IF($H187="SOR",D178*2.5+6,IF($H187="SOR T&amp;B",D178*2.5+6))))</f>
        <v>101.25</v>
      </c>
      <c r="E179" s="19" t="s">
        <v>122</v>
      </c>
      <c r="F179" s="369">
        <f ca="1">H178+15</f>
        <v>73</v>
      </c>
      <c r="G179" s="447" cm="1">
        <f t="array" aca="1" ref="G179" ca="1">INDIRECT("'Worksheet'!$Y"&amp;$B177)</f>
        <v>0</v>
      </c>
      <c r="H179" s="447"/>
      <c r="I179" s="448"/>
      <c r="L179" s="164" t="s">
        <v>121</v>
      </c>
      <c r="M179">
        <f t="shared" ca="1" si="13"/>
        <v>101.25</v>
      </c>
      <c r="N179" s="19" t="s">
        <v>122</v>
      </c>
      <c r="O179" s="369">
        <f ca="1">F179</f>
        <v>73</v>
      </c>
      <c r="P179" s="449">
        <f ca="1">G179</f>
        <v>0</v>
      </c>
      <c r="Q179" s="449"/>
      <c r="R179" s="450"/>
    </row>
    <row r="180" spans="1:18" ht="19.5" customHeight="1">
      <c r="C180" s="166"/>
      <c r="D180" s="161" cm="1">
        <f t="array" aca="1" ref="D180" ca="1">IF($D187="Left of Pair",INDIRECT("'Worksheet'!$Q"&amp;$B177)/2,IF($D187="Panel",INDIRECT("'Worksheet'!$Q"&amp;$B177)))</f>
        <v>1.4000000000000001</v>
      </c>
      <c r="E180" s="42" t="s">
        <v>41</v>
      </c>
      <c r="F180" s="370"/>
      <c r="G180" s="447"/>
      <c r="H180" s="447"/>
      <c r="I180" s="448"/>
      <c r="L180" s="166"/>
      <c r="M180" s="161">
        <f t="shared" ca="1" si="13"/>
        <v>1.4000000000000001</v>
      </c>
      <c r="N180" s="42" t="s">
        <v>41</v>
      </c>
      <c r="O180" s="370"/>
      <c r="P180" s="449"/>
      <c r="Q180" s="451"/>
      <c r="R180" s="452"/>
    </row>
    <row r="181" spans="1:18" ht="15.75">
      <c r="C181" s="164" t="s">
        <v>135</v>
      </c>
      <c r="D181" s="19">
        <f ca="1">+IF(D185="yes",IF($D187="Left of Pair",($D182*$H185),IF($D187="Panel",$D182*$H185,IF($H187="SOR",$D182*$H185," ")))," ")</f>
        <v>99.2</v>
      </c>
      <c r="E181" s="19" t="s">
        <v>122</v>
      </c>
      <c r="F181" s="369">
        <f ca="1">IF(D185="YES",H178+12," ")</f>
        <v>70</v>
      </c>
      <c r="H181" s="343" t="s">
        <v>10</v>
      </c>
      <c r="I181" s="371" cm="1">
        <f t="array" aca="1" ref="I181" ca="1">INDIRECT("'Worksheet'!$Q"&amp;B177)</f>
        <v>1.4000000000000001</v>
      </c>
      <c r="L181" s="164" t="s">
        <v>135</v>
      </c>
      <c r="M181">
        <f t="shared" ca="1" si="13"/>
        <v>99.2</v>
      </c>
      <c r="N181" s="19" t="s">
        <v>122</v>
      </c>
      <c r="O181" s="369">
        <f ca="1">F181</f>
        <v>70</v>
      </c>
      <c r="P181" s="19"/>
      <c r="Q181" s="343" t="s">
        <v>10</v>
      </c>
      <c r="R181" s="160">
        <f ca="1">I181</f>
        <v>1.4000000000000001</v>
      </c>
    </row>
    <row r="182" spans="1:18">
      <c r="C182" s="167"/>
      <c r="D182" s="161" cm="1">
        <f t="array" aca="1" ref="D182" ca="1">IF(D185="yes",IF($D187="Left of Pair",INDIRECT("'Worksheet'!$S"&amp;$B177)/2,IF($D187="Panel",INDIRECT("'Worksheet'!$S"&amp;$B177)))," ")</f>
        <v>1.6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40.5</v>
      </c>
      <c r="L182" s="167"/>
      <c r="M182" s="344">
        <f t="shared" ca="1" si="13"/>
        <v>1.6</v>
      </c>
      <c r="N182" s="345" t="s">
        <v>41</v>
      </c>
      <c r="O182" s="372"/>
      <c r="P182" s="20"/>
      <c r="Q182" s="343" t="s">
        <v>116</v>
      </c>
      <c r="R182" s="32">
        <f ca="1">I182</f>
        <v>40.5</v>
      </c>
    </row>
    <row r="183" spans="1:18" ht="12.75" customHeight="1">
      <c r="C183" s="168" t="s">
        <v>114</v>
      </c>
      <c r="D183" s="373" t="str" cm="1">
        <f t="array" aca="1" ref="D183" ca="1">INDIRECT("'Worksheet'!$B"&amp;$B177)</f>
        <v>YW</v>
      </c>
      <c r="E183" s="22"/>
      <c r="F183" s="23"/>
      <c r="G183" s="22"/>
      <c r="H183" s="24"/>
      <c r="I183" s="444" t="str" cm="1">
        <f t="array" aca="1" ref="I183" ca="1">INDIRECT("'Worksheet'!$A"&amp;$B177)</f>
        <v>P1-14</v>
      </c>
      <c r="L183" s="168" t="s">
        <v>114</v>
      </c>
      <c r="M183" s="31" t="str">
        <f t="shared" ca="1" si="13"/>
        <v>YW</v>
      </c>
      <c r="N183" s="20"/>
      <c r="O183" s="33"/>
      <c r="P183" s="27"/>
      <c r="Q183" s="24"/>
      <c r="R183" s="444" t="str">
        <f ca="1">I183</f>
        <v>P1-14</v>
      </c>
    </row>
    <row r="184" spans="1:18" ht="15.75" customHeight="1">
      <c r="C184" s="164" t="s">
        <v>117</v>
      </c>
      <c r="D184" s="346" cm="1">
        <f t="array" aca="1" ref="D184" ca="1">INDIRECT("'Worksheet'!$H"&amp;$B177)</f>
        <v>3.5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45"/>
      <c r="L184" s="164" t="s">
        <v>117</v>
      </c>
      <c r="M184" s="34">
        <f t="shared" ca="1" si="13"/>
        <v>3.5</v>
      </c>
      <c r="N184" s="20"/>
      <c r="O184" s="169" t="s">
        <v>118</v>
      </c>
      <c r="P184" s="35"/>
      <c r="Q184" s="36" t="str">
        <f>H184</f>
        <v>Yes</v>
      </c>
      <c r="R184" s="445"/>
    </row>
    <row r="185" spans="1:18" ht="15.75" customHeight="1">
      <c r="C185" s="164" t="s">
        <v>119</v>
      </c>
      <c r="D185" s="37" t="str">
        <f ca="1">IF($E185&gt;0,"YES"," ")</f>
        <v>YES</v>
      </c>
      <c r="E185" s="347" t="str" cm="1">
        <f t="array" aca="1" ref="E185" ca="1">INDIRECT("'Worksheet'!$X"&amp;$B177)</f>
        <v xml:space="preserve">Flameguard </v>
      </c>
      <c r="F185" s="39"/>
      <c r="G185" s="20"/>
      <c r="H185" s="391" cm="1">
        <f t="array" aca="1" ref="H185" ca="1">INDIRECT("'Worksheet'!$R"&amp;$B177)</f>
        <v>62</v>
      </c>
      <c r="I185" s="445"/>
      <c r="J185" s="40"/>
      <c r="L185" s="164" t="s">
        <v>119</v>
      </c>
      <c r="M185" s="37" t="str">
        <f t="shared" ca="1" si="13"/>
        <v>YES</v>
      </c>
      <c r="N185" s="38" t="str">
        <f ca="1">E185</f>
        <v xml:space="preserve">Flameguard </v>
      </c>
      <c r="O185" s="39"/>
      <c r="P185" s="20"/>
      <c r="Q185" s="392">
        <f ca="1">H185</f>
        <v>62</v>
      </c>
      <c r="R185" s="445"/>
    </row>
    <row r="186" spans="1:18" ht="15.75" customHeight="1">
      <c r="C186" s="164" t="s">
        <v>13</v>
      </c>
      <c r="D186" s="347" t="str" cm="1">
        <f t="array" aca="1" ref="D186" ca="1">INDIRECT("'Worksheet'!$W"&amp;$B177)</f>
        <v>5th Avenue 72</v>
      </c>
      <c r="E186" s="22"/>
      <c r="F186" s="23"/>
      <c r="G186" s="22"/>
      <c r="H186" s="391" cm="1">
        <f t="array" aca="1" ref="H186" ca="1">INDIRECT("'Worksheet'!$P"&amp;$B177)</f>
        <v>74</v>
      </c>
      <c r="I186" s="446"/>
      <c r="L186" s="164" t="s">
        <v>13</v>
      </c>
      <c r="M186" s="21" t="str">
        <f t="shared" ca="1" si="13"/>
        <v>5th Avenue 72</v>
      </c>
      <c r="N186" s="22"/>
      <c r="O186" s="23"/>
      <c r="P186" s="22"/>
      <c r="Q186" s="392">
        <f ca="1">H186</f>
        <v>74</v>
      </c>
      <c r="R186" s="446"/>
    </row>
    <row r="187" spans="1:18" ht="23.25">
      <c r="C187" s="348" t="str" cm="1">
        <f t="array" aca="1" ref="C187" ca="1">INDIRECT("'Worksheet'!$J"&amp;$B177)</f>
        <v>dead</v>
      </c>
      <c r="D187" s="443" t="str" cm="1">
        <f t="array" aca="1" ref="D187" ca="1">IF(INDIRECT("'Worksheet'!$D"&amp;$B177)=1, "Left of Pair", IF(INDIRECT("'Worksheet'!$E"&amp;$B177)=1, "Panel"))</f>
        <v>Panel</v>
      </c>
      <c r="E187" s="443"/>
      <c r="F187" s="443"/>
      <c r="G187" s="374"/>
      <c r="H187" s="374" t="str" cm="1">
        <f t="array" aca="1" ref="H187" ca="1">IF(INDIRECT("'Worksheet'!$F"&amp;$B177)="st","SOR T&amp;B"," ")</f>
        <v xml:space="preserve"> </v>
      </c>
      <c r="I187" s="375"/>
      <c r="L187" s="41" t="str">
        <f ca="1">$C187</f>
        <v>dead</v>
      </c>
      <c r="M187" s="443" t="str" cm="1">
        <f t="array" aca="1" ref="M187" ca="1">IF(INDIRECT("'Worksheet'!$D"&amp;$B177)=1, "Right of Pair", IF(INDIRECT("'Worksheet'!$E"&amp;$B177)=1, "Do Not Use"))</f>
        <v>Do Not Use</v>
      </c>
      <c r="N187" s="443"/>
      <c r="O187" s="443"/>
      <c r="P187" s="374"/>
      <c r="Q187" s="374"/>
      <c r="R187" s="375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+Worksheet!$W$4</f>
        <v>Gregory Mill WO#C5364027-00086.01</v>
      </c>
      <c r="E191" s="22"/>
      <c r="F191" s="23"/>
      <c r="G191" s="22"/>
      <c r="H191" s="24"/>
      <c r="I191" s="25">
        <f>+Worksheet!$AR$1</f>
        <v>33517</v>
      </c>
      <c r="J191" s="26"/>
      <c r="L191" s="164" t="s">
        <v>113</v>
      </c>
      <c r="M191" s="21" t="str">
        <f>+Worksheet!$W$4</f>
        <v>Gregory Mill WO#C5364027-00086.01</v>
      </c>
      <c r="N191" s="22"/>
      <c r="O191" s="23"/>
      <c r="P191" s="22"/>
      <c r="Q191" s="24"/>
      <c r="R191" s="25">
        <f>+Worksheet!$AR$1</f>
        <v>33517</v>
      </c>
    </row>
    <row r="192" spans="1:18" ht="32.25">
      <c r="C192" s="165" t="s">
        <v>128</v>
      </c>
      <c r="D192" s="150" cm="1">
        <f t="array" aca="1" ref="D192" ca="1">INDIRECT("'Worksheet'!$K"&amp;$B191)</f>
        <v>34</v>
      </c>
      <c r="E192" s="151" t="s">
        <v>115</v>
      </c>
      <c r="F192" s="150" cm="1">
        <f t="array" aca="1" ref="F192" ca="1">INDIRECT("'Worksheet'!$M"&amp;$B191)</f>
        <v>6.5</v>
      </c>
      <c r="G192" s="151" t="s">
        <v>122</v>
      </c>
      <c r="H192" s="150" cm="1">
        <f t="array" aca="1" ref="H192" ca="1">INDIRECT("'Worksheet'!$O"&amp;$B191)</f>
        <v>58</v>
      </c>
      <c r="I192" s="29" t="str">
        <f>+IF(Worksheet!$R$34=1,"Install",IF(Worksheet!$R$34=2,"Ship",IF(Worksheet!$R$34=3,"Deliver",IF(Worksheet!$R$34=4,"Will Call"))))</f>
        <v>Ship</v>
      </c>
      <c r="J192" s="30"/>
      <c r="L192" s="165" t="s">
        <v>128</v>
      </c>
      <c r="M192" s="150">
        <f t="shared" ref="M192:M200" ca="1" si="14">D192</f>
        <v>34</v>
      </c>
      <c r="N192" s="151" t="s">
        <v>115</v>
      </c>
      <c r="O192" s="152">
        <f ca="1">F192</f>
        <v>6.5</v>
      </c>
      <c r="P192" s="151" t="s">
        <v>122</v>
      </c>
      <c r="Q192" s="153">
        <f ca="1">H192</f>
        <v>58</v>
      </c>
      <c r="R192" s="29" t="str">
        <f>+IF(Worksheet!$R$34=1,"Install",IF(Worksheet!$R$34=2,"Ship",IF(Worksheet!$R$34=3,"Deliver",IF(Worksheet!$R$34=4,"Will Call"))))</f>
        <v>Ship</v>
      </c>
    </row>
    <row r="193" spans="1:18" ht="12.75" customHeight="1">
      <c r="C193" s="164" t="s">
        <v>121</v>
      </c>
      <c r="D193" s="19">
        <f ca="1">+IF($D201="Left of Pair",((D192+F192)*Worksheet!$AE$7)/2,IF($D201="Panel",(D192+F192)*Worksheet!$AE$7,IF($H201="SOR",D192*2.5+6,IF($H201="SOR T&amp;B",D192*2.5+6))))</f>
        <v>101.25</v>
      </c>
      <c r="E193" s="19" t="s">
        <v>122</v>
      </c>
      <c r="F193" s="369">
        <f ca="1">H192+15</f>
        <v>73</v>
      </c>
      <c r="G193" s="447" cm="1">
        <f t="array" aca="1" ref="G193" ca="1">INDIRECT("'Worksheet'!$Y"&amp;$B191)</f>
        <v>0</v>
      </c>
      <c r="H193" s="447"/>
      <c r="I193" s="448"/>
      <c r="L193" s="164" t="s">
        <v>121</v>
      </c>
      <c r="M193">
        <f t="shared" ca="1" si="14"/>
        <v>101.25</v>
      </c>
      <c r="N193" s="19" t="s">
        <v>122</v>
      </c>
      <c r="O193" s="369">
        <f ca="1">F193</f>
        <v>73</v>
      </c>
      <c r="P193" s="449">
        <f ca="1">G193</f>
        <v>0</v>
      </c>
      <c r="Q193" s="449"/>
      <c r="R193" s="450"/>
    </row>
    <row r="194" spans="1:18" ht="19.5" customHeight="1">
      <c r="C194" s="166"/>
      <c r="D194" s="161" cm="1">
        <f t="array" aca="1" ref="D194" ca="1">IF($D201="Left of Pair",INDIRECT("'Worksheet'!$Q"&amp;$B191)/2,IF($D201="Panel",INDIRECT("'Worksheet'!$Q"&amp;$B191)))</f>
        <v>1.4000000000000001</v>
      </c>
      <c r="E194" s="42" t="s">
        <v>41</v>
      </c>
      <c r="F194" s="370"/>
      <c r="G194" s="447"/>
      <c r="H194" s="447"/>
      <c r="I194" s="448"/>
      <c r="L194" s="166"/>
      <c r="M194" s="161">
        <f t="shared" ca="1" si="14"/>
        <v>1.4000000000000001</v>
      </c>
      <c r="N194" s="42" t="s">
        <v>41</v>
      </c>
      <c r="O194" s="370"/>
      <c r="P194" s="449"/>
      <c r="Q194" s="451"/>
      <c r="R194" s="452"/>
    </row>
    <row r="195" spans="1:18" ht="15.75">
      <c r="C195" s="164" t="s">
        <v>135</v>
      </c>
      <c r="D195" s="19">
        <f ca="1">+IF(D199="yes",IF($D201="Left of Pair",($D196*$H199),IF($D201="Panel",$D196*$H199,IF($H201="SOR",$D196*$H199," ")))," ")</f>
        <v>99.2</v>
      </c>
      <c r="E195" s="19" t="s">
        <v>122</v>
      </c>
      <c r="F195" s="369">
        <f ca="1">IF(D199="YES",H192+12," ")</f>
        <v>70</v>
      </c>
      <c r="H195" s="343" t="s">
        <v>10</v>
      </c>
      <c r="I195" s="371" cm="1">
        <f t="array" aca="1" ref="I195" ca="1">INDIRECT("'Worksheet'!$Q"&amp;B191)</f>
        <v>1.4000000000000001</v>
      </c>
      <c r="L195" s="164" t="s">
        <v>135</v>
      </c>
      <c r="M195">
        <f t="shared" ca="1" si="14"/>
        <v>99.2</v>
      </c>
      <c r="N195" s="19" t="s">
        <v>122</v>
      </c>
      <c r="O195" s="369">
        <f ca="1">F195</f>
        <v>70</v>
      </c>
      <c r="P195" s="19"/>
      <c r="Q195" s="343" t="s">
        <v>10</v>
      </c>
      <c r="R195" s="160">
        <f ca="1">I195</f>
        <v>1.4000000000000001</v>
      </c>
    </row>
    <row r="196" spans="1:18">
      <c r="C196" s="167"/>
      <c r="D196" s="161" cm="1">
        <f t="array" aca="1" ref="D196" ca="1">IF(D199="yes",IF($D201="Left of Pair",INDIRECT("'Worksheet'!$S"&amp;$B191)/2,IF($D201="Panel",INDIRECT("'Worksheet'!$S"&amp;$B191)))," ")</f>
        <v>1.6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40.5</v>
      </c>
      <c r="L196" s="167"/>
      <c r="M196" s="344">
        <f t="shared" ca="1" si="14"/>
        <v>1.6</v>
      </c>
      <c r="N196" s="345" t="s">
        <v>41</v>
      </c>
      <c r="O196" s="372"/>
      <c r="P196" s="20"/>
      <c r="Q196" s="343" t="s">
        <v>116</v>
      </c>
      <c r="R196" s="32">
        <f ca="1">I196</f>
        <v>40.5</v>
      </c>
    </row>
    <row r="197" spans="1:18" ht="12.75" customHeight="1">
      <c r="C197" s="168" t="s">
        <v>114</v>
      </c>
      <c r="D197" s="373" t="str" cm="1">
        <f t="array" aca="1" ref="D197" ca="1">INDIRECT("'Worksheet'!$B"&amp;$B191)</f>
        <v>YW</v>
      </c>
      <c r="E197" s="22"/>
      <c r="F197" s="23"/>
      <c r="G197" s="22"/>
      <c r="H197" s="24"/>
      <c r="I197" s="444" t="str" cm="1">
        <f t="array" aca="1" ref="I197" ca="1">INDIRECT("'Worksheet'!$A"&amp;$B191)</f>
        <v>P1-15</v>
      </c>
      <c r="L197" s="168" t="s">
        <v>114</v>
      </c>
      <c r="M197" s="31" t="str">
        <f t="shared" ca="1" si="14"/>
        <v>YW</v>
      </c>
      <c r="N197" s="20"/>
      <c r="O197" s="33"/>
      <c r="P197" s="27"/>
      <c r="Q197" s="24"/>
      <c r="R197" s="444" t="str">
        <f ca="1">I197</f>
        <v>P1-15</v>
      </c>
    </row>
    <row r="198" spans="1:18" ht="15.75" customHeight="1">
      <c r="C198" s="164" t="s">
        <v>117</v>
      </c>
      <c r="D198" s="346" cm="1">
        <f t="array" aca="1" ref="D198" ca="1">INDIRECT("'Worksheet'!$H"&amp;$B191)</f>
        <v>3.5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45"/>
      <c r="L198" s="164" t="s">
        <v>117</v>
      </c>
      <c r="M198" s="34">
        <f t="shared" ca="1" si="14"/>
        <v>3.5</v>
      </c>
      <c r="N198" s="20"/>
      <c r="O198" s="169" t="s">
        <v>118</v>
      </c>
      <c r="P198" s="35"/>
      <c r="Q198" s="36" t="str">
        <f>H198</f>
        <v>Yes</v>
      </c>
      <c r="R198" s="445"/>
    </row>
    <row r="199" spans="1:18" ht="15.75" customHeight="1">
      <c r="C199" s="164" t="s">
        <v>119</v>
      </c>
      <c r="D199" s="37" t="str">
        <f ca="1">IF($E199&gt;0,"YES"," ")</f>
        <v>YES</v>
      </c>
      <c r="E199" s="347" t="str" cm="1">
        <f t="array" aca="1" ref="E199" ca="1">INDIRECT("'Worksheet'!$X"&amp;$B191)</f>
        <v xml:space="preserve">Flameguard </v>
      </c>
      <c r="F199" s="39"/>
      <c r="G199" s="20"/>
      <c r="H199" s="391" cm="1">
        <f t="array" aca="1" ref="H199" ca="1">INDIRECT("'Worksheet'!$R"&amp;$B191)</f>
        <v>62</v>
      </c>
      <c r="I199" s="445"/>
      <c r="J199" s="40"/>
      <c r="L199" s="164" t="s">
        <v>119</v>
      </c>
      <c r="M199" s="37" t="str">
        <f t="shared" ca="1" si="14"/>
        <v>YES</v>
      </c>
      <c r="N199" s="38" t="str">
        <f ca="1">E199</f>
        <v xml:space="preserve">Flameguard </v>
      </c>
      <c r="O199" s="39"/>
      <c r="P199" s="20"/>
      <c r="Q199" s="392">
        <f ca="1">H199</f>
        <v>62</v>
      </c>
      <c r="R199" s="445"/>
    </row>
    <row r="200" spans="1:18" ht="15.75" customHeight="1">
      <c r="C200" s="164" t="s">
        <v>13</v>
      </c>
      <c r="D200" s="347" t="str" cm="1">
        <f t="array" aca="1" ref="D200" ca="1">INDIRECT("'Worksheet'!$W"&amp;$B191)</f>
        <v>5th Avenue 72</v>
      </c>
      <c r="E200" s="22"/>
      <c r="F200" s="23"/>
      <c r="G200" s="22"/>
      <c r="H200" s="391" cm="1">
        <f t="array" aca="1" ref="H200" ca="1">INDIRECT("'Worksheet'!$P"&amp;$B191)</f>
        <v>74</v>
      </c>
      <c r="I200" s="446"/>
      <c r="L200" s="164" t="s">
        <v>13</v>
      </c>
      <c r="M200" s="21" t="str">
        <f t="shared" ca="1" si="14"/>
        <v>5th Avenue 72</v>
      </c>
      <c r="N200" s="22"/>
      <c r="O200" s="23"/>
      <c r="P200" s="22"/>
      <c r="Q200" s="392">
        <f ca="1">H200</f>
        <v>74</v>
      </c>
      <c r="R200" s="446"/>
    </row>
    <row r="201" spans="1:18" ht="23.25">
      <c r="C201" s="348" t="str" cm="1">
        <f t="array" aca="1" ref="C201" ca="1">INDIRECT("'Worksheet'!$J"&amp;$B191)</f>
        <v>dead</v>
      </c>
      <c r="D201" s="443" t="str" cm="1">
        <f t="array" aca="1" ref="D201" ca="1">IF(INDIRECT("'Worksheet'!$D"&amp;$B191)=1, "Left of Pair", IF(INDIRECT("'Worksheet'!$E"&amp;$B191)=1, "Panel"))</f>
        <v>Panel</v>
      </c>
      <c r="E201" s="443"/>
      <c r="F201" s="443"/>
      <c r="G201" s="374"/>
      <c r="H201" s="374" t="str" cm="1">
        <f t="array" aca="1" ref="H201" ca="1">IF(INDIRECT("'Worksheet'!$F"&amp;$B191)="st","SOR T&amp;B"," ")</f>
        <v xml:space="preserve"> </v>
      </c>
      <c r="I201" s="375"/>
      <c r="L201" s="41" t="str">
        <f ca="1">$C201</f>
        <v>dead</v>
      </c>
      <c r="M201" s="443" t="str" cm="1">
        <f t="array" aca="1" ref="M201" ca="1">IF(INDIRECT("'Worksheet'!$D"&amp;$B191)=1, "Right of Pair", IF(INDIRECT("'Worksheet'!$E"&amp;$B191)=1, "Do Not Use"))</f>
        <v>Do Not Use</v>
      </c>
      <c r="N201" s="443"/>
      <c r="O201" s="443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+Worksheet!$W$4</f>
        <v>Gregory Mill WO#C5364027-00086.01</v>
      </c>
      <c r="E205" s="22"/>
      <c r="F205" s="23"/>
      <c r="G205" s="22"/>
      <c r="H205" s="24"/>
      <c r="I205" s="25">
        <f>+Worksheet!$AR$1</f>
        <v>33517</v>
      </c>
      <c r="J205" s="26"/>
      <c r="L205" s="164" t="s">
        <v>113</v>
      </c>
      <c r="M205" s="21" t="str">
        <f>+Worksheet!$W$4</f>
        <v>Gregory Mill WO#C5364027-00086.01</v>
      </c>
      <c r="N205" s="22"/>
      <c r="O205" s="23"/>
      <c r="P205" s="22"/>
      <c r="Q205" s="24"/>
      <c r="R205" s="25">
        <f>+Worksheet!$AR$1</f>
        <v>33517</v>
      </c>
    </row>
    <row r="206" spans="1:18" ht="32.25">
      <c r="C206" s="165" t="s">
        <v>128</v>
      </c>
      <c r="D206" s="150" cm="1">
        <f t="array" aca="1" ref="D206" ca="1">INDIRECT("'Worksheet'!$K"&amp;$B205)</f>
        <v>34</v>
      </c>
      <c r="E206" s="151" t="s">
        <v>115</v>
      </c>
      <c r="F206" s="150" cm="1">
        <f t="array" aca="1" ref="F206" ca="1">INDIRECT("'Worksheet'!$M"&amp;$B205)</f>
        <v>6.5</v>
      </c>
      <c r="G206" s="151" t="s">
        <v>122</v>
      </c>
      <c r="H206" s="150" cm="1">
        <f t="array" aca="1" ref="H206" ca="1">INDIRECT("'Worksheet'!$O"&amp;$B205)</f>
        <v>58</v>
      </c>
      <c r="I206" s="29" t="str">
        <f>+IF(Worksheet!$R$34=1,"Install",IF(Worksheet!$R$34=2,"Ship",IF(Worksheet!$R$34=3,"Deliver",IF(Worksheet!$R$34=4,"Will Call"))))</f>
        <v>Ship</v>
      </c>
      <c r="J206" s="30"/>
      <c r="L206" s="165" t="s">
        <v>128</v>
      </c>
      <c r="M206" s="150">
        <f t="shared" ref="M206:M214" ca="1" si="15">D206</f>
        <v>34</v>
      </c>
      <c r="N206" s="151" t="s">
        <v>115</v>
      </c>
      <c r="O206" s="152">
        <f ca="1">F206</f>
        <v>6.5</v>
      </c>
      <c r="P206" s="151" t="s">
        <v>122</v>
      </c>
      <c r="Q206" s="153">
        <f ca="1">H206</f>
        <v>58</v>
      </c>
      <c r="R206" s="29" t="str">
        <f>+IF(Worksheet!$R$34=1,"Install",IF(Worksheet!$R$34=2,"Ship",IF(Worksheet!$R$34=3,"Deliver",IF(Worksheet!$R$34=4,"Will Call"))))</f>
        <v>Ship</v>
      </c>
    </row>
    <row r="207" spans="1:18" ht="12.75" customHeight="1">
      <c r="C207" s="164" t="s">
        <v>121</v>
      </c>
      <c r="D207" s="19">
        <f ca="1">+IF($D215="Left of Pair",((D206+F206)*Worksheet!$AE$7)/2,IF($D215="Panel",(D206+F206)*Worksheet!$AE$7,IF($H215="SOR",D206*2.5+6,IF($H215="SOR T&amp;B",D206*2.5+6))))</f>
        <v>101.25</v>
      </c>
      <c r="E207" s="19" t="s">
        <v>122</v>
      </c>
      <c r="F207" s="369">
        <f ca="1">H206+15</f>
        <v>73</v>
      </c>
      <c r="G207" s="447" cm="1">
        <f t="array" aca="1" ref="G207" ca="1">INDIRECT("'Worksheet'!$Y"&amp;$B205)</f>
        <v>0</v>
      </c>
      <c r="H207" s="447"/>
      <c r="I207" s="448"/>
      <c r="L207" s="164" t="s">
        <v>121</v>
      </c>
      <c r="M207">
        <f t="shared" ca="1" si="15"/>
        <v>101.25</v>
      </c>
      <c r="N207" s="19" t="s">
        <v>122</v>
      </c>
      <c r="O207" s="369">
        <f ca="1">F207</f>
        <v>73</v>
      </c>
      <c r="P207" s="449">
        <f ca="1">G207</f>
        <v>0</v>
      </c>
      <c r="Q207" s="449"/>
      <c r="R207" s="450"/>
    </row>
    <row r="208" spans="1:18" ht="19.5" customHeight="1">
      <c r="C208" s="166"/>
      <c r="D208" s="161" cm="1">
        <f t="array" aca="1" ref="D208" ca="1">IF($D215="Left of Pair",INDIRECT("'Worksheet'!$Q"&amp;$B205)/2,IF($D215="Panel",INDIRECT("'Worksheet'!$Q"&amp;$B205)))</f>
        <v>1.4000000000000001</v>
      </c>
      <c r="E208" s="42" t="s">
        <v>41</v>
      </c>
      <c r="F208" s="370"/>
      <c r="G208" s="447"/>
      <c r="H208" s="447"/>
      <c r="I208" s="448"/>
      <c r="L208" s="166"/>
      <c r="M208" s="161">
        <f t="shared" ca="1" si="15"/>
        <v>1.4000000000000001</v>
      </c>
      <c r="N208" s="42" t="s">
        <v>41</v>
      </c>
      <c r="O208" s="370"/>
      <c r="P208" s="449"/>
      <c r="Q208" s="451"/>
      <c r="R208" s="452"/>
    </row>
    <row r="209" spans="1:18" ht="15.75">
      <c r="C209" s="164" t="s">
        <v>135</v>
      </c>
      <c r="D209" s="19">
        <f ca="1">+IF(D213="yes",IF($D215="Left of Pair",($D210*$H213),IF($D215="Panel",$D210*$H213,IF($H215="SOR",$D210*$H213," ")))," ")</f>
        <v>96</v>
      </c>
      <c r="E209" s="19" t="s">
        <v>122</v>
      </c>
      <c r="F209" s="369">
        <f ca="1">IF(D213="YES",H206+12," ")</f>
        <v>70</v>
      </c>
      <c r="H209" s="343" t="s">
        <v>10</v>
      </c>
      <c r="I209" s="371" cm="1">
        <f t="array" aca="1" ref="I209" ca="1">INDIRECT("'Worksheet'!$Q"&amp;B205)</f>
        <v>1.4000000000000001</v>
      </c>
      <c r="L209" s="164" t="s">
        <v>135</v>
      </c>
      <c r="M209">
        <f t="shared" ca="1" si="15"/>
        <v>96</v>
      </c>
      <c r="N209" s="19" t="s">
        <v>122</v>
      </c>
      <c r="O209" s="369">
        <f ca="1">F209</f>
        <v>70</v>
      </c>
      <c r="P209" s="19"/>
      <c r="Q209" s="343" t="s">
        <v>10</v>
      </c>
      <c r="R209" s="160">
        <f ca="1">I209</f>
        <v>1.4000000000000001</v>
      </c>
    </row>
    <row r="210" spans="1:18">
      <c r="C210" s="167"/>
      <c r="D210" s="161" cm="1">
        <f t="array" aca="1" ref="D210" ca="1">IF(D213="yes",IF($D215="Left of Pair",INDIRECT("'Worksheet'!$S"&amp;$B205)/2,IF($D215="Panel",INDIRECT("'Worksheet'!$S"&amp;$B205)))," ")</f>
        <v>1.6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40.5</v>
      </c>
      <c r="L210" s="167"/>
      <c r="M210" s="344">
        <f t="shared" ca="1" si="15"/>
        <v>1.6</v>
      </c>
      <c r="N210" s="345" t="s">
        <v>41</v>
      </c>
      <c r="O210" s="372"/>
      <c r="P210" s="20"/>
      <c r="Q210" s="343" t="s">
        <v>116</v>
      </c>
      <c r="R210" s="32">
        <f ca="1">I210</f>
        <v>40.5</v>
      </c>
    </row>
    <row r="211" spans="1:18" ht="12.75" customHeight="1">
      <c r="C211" s="168" t="s">
        <v>114</v>
      </c>
      <c r="D211" s="373" t="str" cm="1">
        <f t="array" aca="1" ref="D211" ca="1">INDIRECT("'Worksheet'!$B"&amp;$B205)</f>
        <v>Mothers Room</v>
      </c>
      <c r="E211" s="22"/>
      <c r="F211" s="23"/>
      <c r="G211" s="22"/>
      <c r="H211" s="24"/>
      <c r="I211" s="444" t="str" cm="1">
        <f t="array" aca="1" ref="I211" ca="1">INDIRECT("'Worksheet'!$A"&amp;$B205)</f>
        <v>P1-16</v>
      </c>
      <c r="L211" s="168" t="s">
        <v>114</v>
      </c>
      <c r="M211" s="31" t="str">
        <f t="shared" ca="1" si="15"/>
        <v>Mothers Room</v>
      </c>
      <c r="N211" s="20"/>
      <c r="O211" s="33"/>
      <c r="P211" s="27"/>
      <c r="Q211" s="24"/>
      <c r="R211" s="444" t="str">
        <f ca="1">I211</f>
        <v>P1-16</v>
      </c>
    </row>
    <row r="212" spans="1:18" ht="15.75" customHeight="1">
      <c r="C212" s="164" t="s">
        <v>117</v>
      </c>
      <c r="D212" s="346" cm="1">
        <f t="array" aca="1" ref="D212" ca="1">INDIRECT("'Worksheet'!$H"&amp;$B205)</f>
        <v>3.5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45"/>
      <c r="L212" s="164" t="s">
        <v>117</v>
      </c>
      <c r="M212" s="34">
        <f t="shared" ca="1" si="15"/>
        <v>3.5</v>
      </c>
      <c r="N212" s="20"/>
      <c r="O212" s="169" t="s">
        <v>118</v>
      </c>
      <c r="P212" s="35"/>
      <c r="Q212" s="36" t="str">
        <f>H212</f>
        <v>Yes</v>
      </c>
      <c r="R212" s="445"/>
    </row>
    <row r="213" spans="1:18" ht="15.75" customHeight="1">
      <c r="C213" s="164" t="s">
        <v>119</v>
      </c>
      <c r="D213" s="37" t="str">
        <f ca="1">IF($E213&gt;0,"YES"," ")</f>
        <v>YES</v>
      </c>
      <c r="E213" s="347" t="str" cm="1">
        <f t="array" aca="1" ref="E213" ca="1">INDIRECT("'Worksheet'!$X"&amp;$B205)</f>
        <v xml:space="preserve">Liteless </v>
      </c>
      <c r="F213" s="39"/>
      <c r="G213" s="20"/>
      <c r="H213" s="391" cm="1">
        <f t="array" aca="1" ref="H213" ca="1">INDIRECT("'Worksheet'!$R"&amp;$B205)</f>
        <v>60</v>
      </c>
      <c r="I213" s="445"/>
      <c r="J213" s="40"/>
      <c r="L213" s="164" t="s">
        <v>119</v>
      </c>
      <c r="M213" s="37" t="str">
        <f t="shared" ca="1" si="15"/>
        <v>YES</v>
      </c>
      <c r="N213" s="38" t="str">
        <f ca="1">E213</f>
        <v xml:space="preserve">Liteless </v>
      </c>
      <c r="O213" s="39"/>
      <c r="P213" s="20"/>
      <c r="Q213" s="392">
        <f ca="1">H213</f>
        <v>60</v>
      </c>
      <c r="R213" s="445"/>
    </row>
    <row r="214" spans="1:18" ht="15.75" customHeight="1">
      <c r="C214" s="164" t="s">
        <v>13</v>
      </c>
      <c r="D214" s="347" t="str" cm="1">
        <f t="array" aca="1" ref="D214" ca="1">INDIRECT("'Worksheet'!$W"&amp;$B205)</f>
        <v>5th Avenue 72</v>
      </c>
      <c r="E214" s="22"/>
      <c r="F214" s="23"/>
      <c r="G214" s="22"/>
      <c r="H214" s="391" cm="1">
        <f t="array" aca="1" ref="H214" ca="1">INDIRECT("'Worksheet'!$P"&amp;$B205)</f>
        <v>74</v>
      </c>
      <c r="I214" s="446"/>
      <c r="L214" s="164" t="s">
        <v>13</v>
      </c>
      <c r="M214" s="21" t="str">
        <f t="shared" ca="1" si="15"/>
        <v>5th Avenue 72</v>
      </c>
      <c r="N214" s="22"/>
      <c r="O214" s="23"/>
      <c r="P214" s="22"/>
      <c r="Q214" s="392">
        <f ca="1">H214</f>
        <v>74</v>
      </c>
      <c r="R214" s="446"/>
    </row>
    <row r="215" spans="1:18" ht="23.25">
      <c r="C215" s="348" t="str" cm="1">
        <f t="array" aca="1" ref="C215" ca="1">INDIRECT("'Worksheet'!$J"&amp;$B205)</f>
        <v>dead</v>
      </c>
      <c r="D215" s="443" t="str" cm="1">
        <f t="array" aca="1" ref="D215" ca="1">IF(INDIRECT("'Worksheet'!$D"&amp;$B205)=1, "Left of Pair", IF(INDIRECT("'Worksheet'!$E"&amp;$B205)=1, "Panel"))</f>
        <v>Panel</v>
      </c>
      <c r="E215" s="443"/>
      <c r="F215" s="443"/>
      <c r="G215" s="374"/>
      <c r="H215" s="374" t="str" cm="1">
        <f t="array" aca="1" ref="H215" ca="1">IF(INDIRECT("'Worksheet'!$F"&amp;$B205)="st","SOR T&amp;B"," ")</f>
        <v xml:space="preserve"> </v>
      </c>
      <c r="I215" s="375"/>
      <c r="L215" s="41" t="str">
        <f ca="1">$C215</f>
        <v>dead</v>
      </c>
      <c r="M215" s="443" t="str" cm="1">
        <f t="array" aca="1" ref="M215" ca="1">IF(INDIRECT("'Worksheet'!$D"&amp;$B205)=1, "Right of Pair", IF(INDIRECT("'Worksheet'!$E"&amp;$B205)=1, "Do Not Use"))</f>
        <v>Do Not Use</v>
      </c>
      <c r="N215" s="443"/>
      <c r="O215" s="443"/>
      <c r="P215" s="374"/>
      <c r="Q215" s="374"/>
      <c r="R215" s="375"/>
    </row>
    <row r="217" spans="1:18" ht="19.5">
      <c r="A217" t="s">
        <v>45</v>
      </c>
      <c r="B217">
        <v>27</v>
      </c>
      <c r="C217" s="164" t="s">
        <v>113</v>
      </c>
      <c r="D217" s="21" t="str">
        <f>+Worksheet!$W$4</f>
        <v>Gregory Mill WO#C5364027-00086.01</v>
      </c>
      <c r="E217" s="22"/>
      <c r="F217" s="23"/>
      <c r="G217" s="22"/>
      <c r="H217" s="24"/>
      <c r="I217" s="25">
        <f>+Worksheet!$AR$1</f>
        <v>33517</v>
      </c>
      <c r="J217" s="26"/>
      <c r="L217" s="164" t="s">
        <v>113</v>
      </c>
      <c r="M217" s="21" t="str">
        <f>+Worksheet!$W$4</f>
        <v>Gregory Mill WO#C5364027-00086.01</v>
      </c>
      <c r="N217" s="22"/>
      <c r="O217" s="23"/>
      <c r="P217" s="22"/>
      <c r="Q217" s="24"/>
      <c r="R217" s="25">
        <f>+Worksheet!$AR$1</f>
        <v>33517</v>
      </c>
    </row>
    <row r="218" spans="1:18" ht="32.25">
      <c r="C218" s="165" t="s">
        <v>128</v>
      </c>
      <c r="D218" s="150" cm="1">
        <f t="array" aca="1" ref="D218" ca="1">INDIRECT("'Worksheet'!$K"&amp;$B217)</f>
        <v>34</v>
      </c>
      <c r="E218" s="151" t="s">
        <v>115</v>
      </c>
      <c r="F218" s="150" cm="1">
        <f t="array" aca="1" ref="F218" ca="1">INDIRECT("'Worksheet'!$M"&amp;$B217)</f>
        <v>6.5</v>
      </c>
      <c r="G218" s="151" t="s">
        <v>122</v>
      </c>
      <c r="H218" s="150" cm="1">
        <f t="array" aca="1" ref="H218" ca="1">INDIRECT("'Worksheet'!$O"&amp;$B217)</f>
        <v>57.5</v>
      </c>
      <c r="I218" s="29" t="str">
        <f>+IF(Worksheet!$R$34=1,"Install",IF(Worksheet!$R$34=2,"Ship",IF(Worksheet!$R$34=3,"Deliver",IF(Worksheet!$R$34=4,"Will Call"))))</f>
        <v>Ship</v>
      </c>
      <c r="J218" s="30"/>
      <c r="L218" s="165" t="s">
        <v>128</v>
      </c>
      <c r="M218" s="150">
        <f t="shared" ref="M218:M226" ca="1" si="16">D218</f>
        <v>34</v>
      </c>
      <c r="N218" s="151" t="s">
        <v>115</v>
      </c>
      <c r="O218" s="152">
        <f ca="1">F218</f>
        <v>6.5</v>
      </c>
      <c r="P218" s="151" t="s">
        <v>122</v>
      </c>
      <c r="Q218" s="153">
        <f ca="1">H218</f>
        <v>57.5</v>
      </c>
      <c r="R218" s="29" t="str">
        <f>+IF(Worksheet!$R$34=1,"Install",IF(Worksheet!$R$34=2,"Ship",IF(Worksheet!$R$34=3,"Deliver",IF(Worksheet!$R$34=4,"Will Call"))))</f>
        <v>Ship</v>
      </c>
    </row>
    <row r="219" spans="1:18" ht="12.75" customHeight="1">
      <c r="C219" s="164" t="s">
        <v>121</v>
      </c>
      <c r="D219" s="19">
        <f ca="1">+IF($D227="Left of Pair",((D218+F218)*Worksheet!$AE$7)/2,IF($D227="Panel",(D218+F218)*Worksheet!$AE$7,IF($H227="SOR",D218*2.5+6,IF($H227="SOR T&amp;B",D218*2.5+6))))</f>
        <v>101.25</v>
      </c>
      <c r="E219" s="19" t="s">
        <v>122</v>
      </c>
      <c r="F219" s="369">
        <f ca="1">H218+15</f>
        <v>72.5</v>
      </c>
      <c r="G219" s="447" cm="1">
        <f t="array" aca="1" ref="G219" ca="1">INDIRECT("'Worksheet'!$Y"&amp;$B217)</f>
        <v>0</v>
      </c>
      <c r="H219" s="447"/>
      <c r="I219" s="448"/>
      <c r="L219" s="164" t="s">
        <v>121</v>
      </c>
      <c r="M219">
        <f t="shared" ca="1" si="16"/>
        <v>101.25</v>
      </c>
      <c r="N219" s="19" t="s">
        <v>122</v>
      </c>
      <c r="O219" s="369">
        <f ca="1">F219</f>
        <v>72.5</v>
      </c>
      <c r="P219" s="449">
        <f ca="1">G219</f>
        <v>0</v>
      </c>
      <c r="Q219" s="449"/>
      <c r="R219" s="450"/>
    </row>
    <row r="220" spans="1:18" ht="19.5" customHeight="1">
      <c r="C220" s="166"/>
      <c r="D220" s="161" cm="1">
        <f t="array" aca="1" ref="D220" ca="1">IF($D227="Left of Pair",INDIRECT("'Worksheet'!$Q"&amp;$B217)/2,IF($D227="Panel",INDIRECT("'Worksheet'!$Q"&amp;$B217)))</f>
        <v>1.4000000000000001</v>
      </c>
      <c r="E220" s="42" t="s">
        <v>41</v>
      </c>
      <c r="F220" s="370"/>
      <c r="G220" s="447"/>
      <c r="H220" s="447"/>
      <c r="I220" s="448"/>
      <c r="L220" s="166"/>
      <c r="M220" s="161">
        <f t="shared" ca="1" si="16"/>
        <v>1.4000000000000001</v>
      </c>
      <c r="N220" s="42" t="s">
        <v>41</v>
      </c>
      <c r="O220" s="370"/>
      <c r="P220" s="449"/>
      <c r="Q220" s="451"/>
      <c r="R220" s="452"/>
    </row>
    <row r="221" spans="1:18" ht="15.75">
      <c r="C221" s="164" t="s">
        <v>135</v>
      </c>
      <c r="D221" s="19">
        <f ca="1">+IF(D225="yes",IF($D227="Left of Pair",($D222*$H225),IF($D227="Panel",$D222*$H225,IF($H227="SOR",$D222*$H225," ")))," ")</f>
        <v>99.2</v>
      </c>
      <c r="E221" s="19" t="s">
        <v>122</v>
      </c>
      <c r="F221" s="369">
        <f ca="1">IF(D225="YES",H218+12," ")</f>
        <v>69.5</v>
      </c>
      <c r="H221" s="343" t="s">
        <v>10</v>
      </c>
      <c r="I221" s="371" cm="1">
        <f t="array" aca="1" ref="I221" ca="1">INDIRECT("'Worksheet'!$Q"&amp;B217)</f>
        <v>1.4000000000000001</v>
      </c>
      <c r="L221" s="164" t="s">
        <v>135</v>
      </c>
      <c r="M221">
        <f t="shared" ca="1" si="16"/>
        <v>99.2</v>
      </c>
      <c r="N221" s="19" t="s">
        <v>122</v>
      </c>
      <c r="O221" s="369">
        <f ca="1">F221</f>
        <v>69.5</v>
      </c>
      <c r="P221" s="19"/>
      <c r="Q221" s="343" t="s">
        <v>10</v>
      </c>
      <c r="R221" s="160">
        <f ca="1">I221</f>
        <v>1.4000000000000001</v>
      </c>
    </row>
    <row r="222" spans="1:18">
      <c r="C222" s="167"/>
      <c r="D222" s="161" cm="1">
        <f t="array" aca="1" ref="D222" ca="1">IF(D225="yes",IF($D227="Left of Pair",INDIRECT("'Worksheet'!$S"&amp;$B217)/2,IF($D227="Panel",INDIRECT("'Worksheet'!$S"&amp;$B217)))," ")</f>
        <v>1.6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40.5</v>
      </c>
      <c r="L222" s="167"/>
      <c r="M222" s="344">
        <f t="shared" ca="1" si="16"/>
        <v>1.6</v>
      </c>
      <c r="N222" s="345" t="s">
        <v>41</v>
      </c>
      <c r="O222" s="372"/>
      <c r="P222" s="20"/>
      <c r="Q222" s="343" t="s">
        <v>116</v>
      </c>
      <c r="R222" s="32">
        <f ca="1">I222</f>
        <v>40.5</v>
      </c>
    </row>
    <row r="223" spans="1:18" ht="12.75" customHeight="1">
      <c r="C223" s="168" t="s">
        <v>114</v>
      </c>
      <c r="D223" s="373" t="str" cm="1">
        <f t="array" aca="1" ref="D223" ca="1">INDIRECT("'Worksheet'!$B"&amp;$B217)</f>
        <v>Bishop #2</v>
      </c>
      <c r="E223" s="22"/>
      <c r="F223" s="23"/>
      <c r="G223" s="22"/>
      <c r="H223" s="24"/>
      <c r="I223" s="444" t="str" cm="1">
        <f t="array" aca="1" ref="I223" ca="1">INDIRECT("'Worksheet'!$A"&amp;$B217)</f>
        <v>P1-17</v>
      </c>
      <c r="L223" s="168" t="s">
        <v>114</v>
      </c>
      <c r="M223" s="31" t="str">
        <f t="shared" ca="1" si="16"/>
        <v>Bishop #2</v>
      </c>
      <c r="N223" s="20"/>
      <c r="O223" s="33"/>
      <c r="P223" s="27"/>
      <c r="Q223" s="24"/>
      <c r="R223" s="444" t="str">
        <f ca="1">I223</f>
        <v>P1-17</v>
      </c>
    </row>
    <row r="224" spans="1:18" ht="15.75" customHeight="1">
      <c r="C224" s="164" t="s">
        <v>117</v>
      </c>
      <c r="D224" s="346" cm="1">
        <f t="array" aca="1" ref="D224" ca="1">INDIRECT("'Worksheet'!$H"&amp;$B217)</f>
        <v>3.5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45"/>
      <c r="L224" s="164" t="s">
        <v>117</v>
      </c>
      <c r="M224" s="34">
        <f t="shared" ca="1" si="16"/>
        <v>3.5</v>
      </c>
      <c r="N224" s="20"/>
      <c r="O224" s="169" t="s">
        <v>118</v>
      </c>
      <c r="P224" s="35"/>
      <c r="Q224" s="36" t="str">
        <f>H224</f>
        <v>Yes</v>
      </c>
      <c r="R224" s="445"/>
    </row>
    <row r="225" spans="1:18" ht="15.75" customHeight="1">
      <c r="C225" s="164" t="s">
        <v>119</v>
      </c>
      <c r="D225" s="37" t="str">
        <f ca="1">IF($E225&gt;0,"YES"," ")</f>
        <v>YES</v>
      </c>
      <c r="E225" s="347" t="str" cm="1">
        <f t="array" aca="1" ref="E225" ca="1">INDIRECT("'Worksheet'!$X"&amp;$B217)</f>
        <v xml:space="preserve">Flameguard </v>
      </c>
      <c r="F225" s="39"/>
      <c r="G225" s="20"/>
      <c r="H225" s="391" cm="1">
        <f t="array" aca="1" ref="H225" ca="1">INDIRECT("'Worksheet'!$R"&amp;$B217)</f>
        <v>62</v>
      </c>
      <c r="I225" s="445"/>
      <c r="J225" s="40"/>
      <c r="L225" s="164" t="s">
        <v>119</v>
      </c>
      <c r="M225" s="37" t="str">
        <f t="shared" ca="1" si="16"/>
        <v>YES</v>
      </c>
      <c r="N225" s="38" t="str">
        <f ca="1">E225</f>
        <v xml:space="preserve">Flameguard </v>
      </c>
      <c r="O225" s="39"/>
      <c r="P225" s="20"/>
      <c r="Q225" s="392">
        <f ca="1">H225</f>
        <v>62</v>
      </c>
      <c r="R225" s="445"/>
    </row>
    <row r="226" spans="1:18" ht="15.75" customHeight="1">
      <c r="C226" s="164" t="s">
        <v>13</v>
      </c>
      <c r="D226" s="347" t="str" cm="1">
        <f t="array" aca="1" ref="D226" ca="1">INDIRECT("'Worksheet'!$W"&amp;$B217)</f>
        <v>5th Avenue 72</v>
      </c>
      <c r="E226" s="22"/>
      <c r="F226" s="23"/>
      <c r="G226" s="22"/>
      <c r="H226" s="391" cm="1">
        <f t="array" aca="1" ref="H226" ca="1">INDIRECT("'Worksheet'!$P"&amp;$B217)</f>
        <v>74</v>
      </c>
      <c r="I226" s="446"/>
      <c r="L226" s="164" t="s">
        <v>13</v>
      </c>
      <c r="M226" s="21" t="str">
        <f t="shared" ca="1" si="16"/>
        <v>5th Avenue 72</v>
      </c>
      <c r="N226" s="22"/>
      <c r="O226" s="23"/>
      <c r="P226" s="22"/>
      <c r="Q226" s="392">
        <f ca="1">H226</f>
        <v>74</v>
      </c>
      <c r="R226" s="446"/>
    </row>
    <row r="227" spans="1:18" ht="23.25">
      <c r="C227" s="348" t="str" cm="1">
        <f t="array" aca="1" ref="C227" ca="1">INDIRECT("'Worksheet'!$J"&amp;$B217)</f>
        <v>dead</v>
      </c>
      <c r="D227" s="443" t="str" cm="1">
        <f t="array" aca="1" ref="D227" ca="1">IF(INDIRECT("'Worksheet'!$D"&amp;$B217)=1, "Left of Pair", IF(INDIRECT("'Worksheet'!$E"&amp;$B217)=1, "Panel"))</f>
        <v>Panel</v>
      </c>
      <c r="E227" s="443"/>
      <c r="F227" s="443"/>
      <c r="G227" s="374"/>
      <c r="H227" s="374" t="str" cm="1">
        <f t="array" aca="1" ref="H227" ca="1">IF(INDIRECT("'Worksheet'!$F"&amp;$B217)="st","SOR T&amp;B"," ")</f>
        <v xml:space="preserve"> </v>
      </c>
      <c r="I227" s="375"/>
      <c r="L227" s="41" t="str">
        <f ca="1">$C227</f>
        <v>dead</v>
      </c>
      <c r="M227" s="443" t="str" cm="1">
        <f t="array" aca="1" ref="M227" ca="1">IF(INDIRECT("'Worksheet'!$D"&amp;$B217)=1, "Right of Pair", IF(INDIRECT("'Worksheet'!$E"&amp;$B217)=1, "Do Not Use"))</f>
        <v>Do Not Use</v>
      </c>
      <c r="N227" s="443"/>
      <c r="O227" s="443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+Worksheet!$W$4</f>
        <v>Gregory Mill WO#C5364027-00086.01</v>
      </c>
      <c r="E231" s="22"/>
      <c r="F231" s="23"/>
      <c r="G231" s="22"/>
      <c r="H231" s="24"/>
      <c r="I231" s="25">
        <f>+Worksheet!$AR$1</f>
        <v>33517</v>
      </c>
      <c r="J231" s="26"/>
      <c r="L231" s="164" t="s">
        <v>113</v>
      </c>
      <c r="M231" s="21" t="str">
        <f>+Worksheet!$W$4</f>
        <v>Gregory Mill WO#C5364027-00086.01</v>
      </c>
      <c r="N231" s="22"/>
      <c r="O231" s="23"/>
      <c r="P231" s="22"/>
      <c r="Q231" s="24"/>
      <c r="R231" s="25">
        <f>+Worksheet!$AR$1</f>
        <v>33517</v>
      </c>
    </row>
    <row r="232" spans="1:18" ht="32.25">
      <c r="C232" s="165" t="s">
        <v>128</v>
      </c>
      <c r="D232" s="150" cm="1">
        <f t="array" aca="1" ref="D232" ca="1">INDIRECT("'Worksheet'!$K"&amp;$B231)</f>
        <v>34</v>
      </c>
      <c r="E232" s="151" t="s">
        <v>115</v>
      </c>
      <c r="F232" s="150" cm="1">
        <f t="array" aca="1" ref="F232" ca="1">INDIRECT("'Worksheet'!$M"&amp;$B231)</f>
        <v>6.5</v>
      </c>
      <c r="G232" s="151" t="s">
        <v>122</v>
      </c>
      <c r="H232" s="150" cm="1">
        <f t="array" aca="1" ref="H232" ca="1">INDIRECT("'Worksheet'!$O"&amp;$B231)</f>
        <v>58</v>
      </c>
      <c r="I232" s="29" t="str">
        <f>+IF(Worksheet!$R$34=1,"Install",IF(Worksheet!$R$34=2,"Ship",IF(Worksheet!$R$34=3,"Deliver",IF(Worksheet!$R$34=4,"Will Call"))))</f>
        <v>Ship</v>
      </c>
      <c r="J232" s="30"/>
      <c r="L232" s="165" t="s">
        <v>128</v>
      </c>
      <c r="M232" s="150">
        <f t="shared" ref="M232:M240" ca="1" si="17">D232</f>
        <v>34</v>
      </c>
      <c r="N232" s="151" t="s">
        <v>115</v>
      </c>
      <c r="O232" s="152">
        <f ca="1">F232</f>
        <v>6.5</v>
      </c>
      <c r="P232" s="151" t="s">
        <v>122</v>
      </c>
      <c r="Q232" s="153">
        <f ca="1">H232</f>
        <v>58</v>
      </c>
      <c r="R232" s="29" t="str">
        <f>+IF(Worksheet!$R$34=1,"Install",IF(Worksheet!$R$34=2,"Ship",IF(Worksheet!$R$34=3,"Deliver",IF(Worksheet!$R$34=4,"Will Call"))))</f>
        <v>Ship</v>
      </c>
    </row>
    <row r="233" spans="1:18" ht="12.75" customHeight="1">
      <c r="C233" s="164" t="s">
        <v>121</v>
      </c>
      <c r="D233" s="19">
        <f ca="1">+IF($D241="Left of Pair",((D232+F232)*Worksheet!$AE$7)/2,IF($D241="Panel",(D232+F232)*Worksheet!$AE$7,IF($H241="SOR",D232*2.5+6,IF($H241="SOR T&amp;B",D232*2.5+6))))</f>
        <v>101.25</v>
      </c>
      <c r="E233" s="19" t="s">
        <v>122</v>
      </c>
      <c r="F233" s="369">
        <f ca="1">H232+15</f>
        <v>73</v>
      </c>
      <c r="G233" s="447" cm="1">
        <f t="array" aca="1" ref="G233" ca="1">INDIRECT("'Worksheet'!$Y"&amp;$B231)</f>
        <v>0</v>
      </c>
      <c r="H233" s="447"/>
      <c r="I233" s="448"/>
      <c r="L233" s="164" t="s">
        <v>121</v>
      </c>
      <c r="M233">
        <f t="shared" ca="1" si="17"/>
        <v>101.25</v>
      </c>
      <c r="N233" s="19" t="s">
        <v>122</v>
      </c>
      <c r="O233" s="369">
        <f ca="1">F233</f>
        <v>73</v>
      </c>
      <c r="P233" s="449">
        <f ca="1">G233</f>
        <v>0</v>
      </c>
      <c r="Q233" s="449"/>
      <c r="R233" s="450"/>
    </row>
    <row r="234" spans="1:18" ht="19.5" customHeight="1">
      <c r="C234" s="166"/>
      <c r="D234" s="161" cm="1">
        <f t="array" aca="1" ref="D234" ca="1">IF($D241="Left of Pair",INDIRECT("'Worksheet'!$Q"&amp;$B231)/2,IF($D241="Panel",INDIRECT("'Worksheet'!$Q"&amp;$B231)))</f>
        <v>1.4000000000000001</v>
      </c>
      <c r="E234" s="42" t="s">
        <v>41</v>
      </c>
      <c r="F234" s="370"/>
      <c r="G234" s="447"/>
      <c r="H234" s="447"/>
      <c r="I234" s="448"/>
      <c r="L234" s="166"/>
      <c r="M234" s="161">
        <f t="shared" ca="1" si="17"/>
        <v>1.4000000000000001</v>
      </c>
      <c r="N234" s="42" t="s">
        <v>41</v>
      </c>
      <c r="O234" s="370"/>
      <c r="P234" s="449"/>
      <c r="Q234" s="451"/>
      <c r="R234" s="452"/>
    </row>
    <row r="235" spans="1:18" ht="15.75">
      <c r="C235" s="164" t="s">
        <v>135</v>
      </c>
      <c r="D235" s="19">
        <f ca="1">+IF(D239="yes",IF($D241="Left of Pair",($D236*$H239),IF($D241="Panel",$D236*$H239,IF($H241="SOR",$D236*$H239," ")))," ")</f>
        <v>99.2</v>
      </c>
      <c r="E235" s="19" t="s">
        <v>122</v>
      </c>
      <c r="F235" s="369">
        <f ca="1">IF(D239="YES",H232+12," ")</f>
        <v>70</v>
      </c>
      <c r="H235" s="343" t="s">
        <v>10</v>
      </c>
      <c r="I235" s="371" cm="1">
        <f t="array" aca="1" ref="I235" ca="1">INDIRECT("'Worksheet'!$Q"&amp;B231)</f>
        <v>1.4000000000000001</v>
      </c>
      <c r="L235" s="164" t="s">
        <v>135</v>
      </c>
      <c r="M235">
        <f t="shared" ca="1" si="17"/>
        <v>99.2</v>
      </c>
      <c r="N235" s="19" t="s">
        <v>122</v>
      </c>
      <c r="O235" s="369">
        <f ca="1">F235</f>
        <v>70</v>
      </c>
      <c r="P235" s="19"/>
      <c r="Q235" s="343" t="s">
        <v>10</v>
      </c>
      <c r="R235" s="160">
        <f ca="1">I235</f>
        <v>1.4000000000000001</v>
      </c>
    </row>
    <row r="236" spans="1:18">
      <c r="C236" s="167"/>
      <c r="D236" s="161" cm="1">
        <f t="array" aca="1" ref="D236" ca="1">IF(D239="yes",IF($D241="Left of Pair",INDIRECT("'Worksheet'!$S"&amp;$B231)/2,IF($D241="Panel",INDIRECT("'Worksheet'!$S"&amp;$B231)))," ")</f>
        <v>1.6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40.5</v>
      </c>
      <c r="L236" s="167"/>
      <c r="M236" s="344">
        <f t="shared" ca="1" si="17"/>
        <v>1.6</v>
      </c>
      <c r="N236" s="345" t="s">
        <v>41</v>
      </c>
      <c r="O236" s="372"/>
      <c r="P236" s="20"/>
      <c r="Q236" s="343" t="s">
        <v>116</v>
      </c>
      <c r="R236" s="32">
        <f ca="1">I236</f>
        <v>40.5</v>
      </c>
    </row>
    <row r="237" spans="1:18" ht="12.75" customHeight="1">
      <c r="C237" s="168" t="s">
        <v>114</v>
      </c>
      <c r="D237" s="373" t="str" cm="1">
        <f t="array" aca="1" ref="D237" ca="1">INDIRECT("'Worksheet'!$B"&amp;$B231)</f>
        <v>Clerk #2</v>
      </c>
      <c r="E237" s="22"/>
      <c r="F237" s="23"/>
      <c r="G237" s="22"/>
      <c r="H237" s="24"/>
      <c r="I237" s="444" t="str" cm="1">
        <f t="array" aca="1" ref="I237" ca="1">INDIRECT("'Worksheet'!$A"&amp;$B231)</f>
        <v>P1-18</v>
      </c>
      <c r="L237" s="168" t="s">
        <v>114</v>
      </c>
      <c r="M237" s="31" t="str">
        <f t="shared" ca="1" si="17"/>
        <v>Clerk #2</v>
      </c>
      <c r="N237" s="20"/>
      <c r="O237" s="33"/>
      <c r="P237" s="27"/>
      <c r="Q237" s="24"/>
      <c r="R237" s="444" t="str">
        <f ca="1">I237</f>
        <v>P1-18</v>
      </c>
    </row>
    <row r="238" spans="1:18" ht="15.75" customHeight="1">
      <c r="C238" s="164" t="s">
        <v>117</v>
      </c>
      <c r="D238" s="346" cm="1">
        <f t="array" aca="1" ref="D238" ca="1">INDIRECT("'Worksheet'!$H"&amp;$B231)</f>
        <v>3.5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45"/>
      <c r="L238" s="164" t="s">
        <v>117</v>
      </c>
      <c r="M238" s="34">
        <f t="shared" ca="1" si="17"/>
        <v>3.5</v>
      </c>
      <c r="N238" s="20"/>
      <c r="O238" s="169" t="s">
        <v>118</v>
      </c>
      <c r="P238" s="35"/>
      <c r="Q238" s="36" t="str">
        <f>H238</f>
        <v>Yes</v>
      </c>
      <c r="R238" s="445"/>
    </row>
    <row r="239" spans="1:18" ht="15.75" customHeight="1">
      <c r="C239" s="164" t="s">
        <v>119</v>
      </c>
      <c r="D239" s="37" t="str">
        <f ca="1">IF($E239&gt;0,"YES"," ")</f>
        <v>YES</v>
      </c>
      <c r="E239" s="347" t="str" cm="1">
        <f t="array" aca="1" ref="E239" ca="1">INDIRECT("'Worksheet'!$X"&amp;$B231)</f>
        <v xml:space="preserve">Flameguard </v>
      </c>
      <c r="F239" s="39"/>
      <c r="G239" s="20"/>
      <c r="H239" s="391" cm="1">
        <f t="array" aca="1" ref="H239" ca="1">INDIRECT("'Worksheet'!$R"&amp;$B231)</f>
        <v>62</v>
      </c>
      <c r="I239" s="445"/>
      <c r="J239" s="40"/>
      <c r="L239" s="164" t="s">
        <v>119</v>
      </c>
      <c r="M239" s="37" t="str">
        <f t="shared" ca="1" si="17"/>
        <v>YES</v>
      </c>
      <c r="N239" s="38" t="str">
        <f ca="1">E239</f>
        <v xml:space="preserve">Flameguard </v>
      </c>
      <c r="O239" s="39"/>
      <c r="P239" s="20"/>
      <c r="Q239" s="392">
        <f ca="1">H239</f>
        <v>62</v>
      </c>
      <c r="R239" s="445"/>
    </row>
    <row r="240" spans="1:18" ht="15.75" customHeight="1">
      <c r="C240" s="164" t="s">
        <v>13</v>
      </c>
      <c r="D240" s="347" t="str" cm="1">
        <f t="array" aca="1" ref="D240" ca="1">INDIRECT("'Worksheet'!$W"&amp;$B231)</f>
        <v>5th Avenue 72</v>
      </c>
      <c r="E240" s="22"/>
      <c r="F240" s="23"/>
      <c r="G240" s="22"/>
      <c r="H240" s="391" cm="1">
        <f t="array" aca="1" ref="H240" ca="1">INDIRECT("'Worksheet'!$P"&amp;$B231)</f>
        <v>74</v>
      </c>
      <c r="I240" s="446"/>
      <c r="L240" s="164" t="s">
        <v>13</v>
      </c>
      <c r="M240" s="21" t="str">
        <f t="shared" ca="1" si="17"/>
        <v>5th Avenue 72</v>
      </c>
      <c r="N240" s="22"/>
      <c r="O240" s="23"/>
      <c r="P240" s="22"/>
      <c r="Q240" s="392">
        <f ca="1">H240</f>
        <v>74</v>
      </c>
      <c r="R240" s="446"/>
    </row>
    <row r="241" spans="1:18" ht="23.25">
      <c r="C241" s="348" t="str" cm="1">
        <f t="array" aca="1" ref="C241" ca="1">INDIRECT("'Worksheet'!$J"&amp;$B231)</f>
        <v>dead</v>
      </c>
      <c r="D241" s="443" t="str" cm="1">
        <f t="array" aca="1" ref="D241" ca="1">IF(INDIRECT("'Worksheet'!$D"&amp;$B231)=1, "Left of Pair", IF(INDIRECT("'Worksheet'!$E"&amp;$B231)=1, "Panel"))</f>
        <v>Panel</v>
      </c>
      <c r="E241" s="443"/>
      <c r="F241" s="443"/>
      <c r="G241" s="374"/>
      <c r="H241" s="374" t="str" cm="1">
        <f t="array" aca="1" ref="H241" ca="1">IF(INDIRECT("'Worksheet'!$F"&amp;$B231)="st","SOR T&amp;B"," ")</f>
        <v xml:space="preserve"> </v>
      </c>
      <c r="I241" s="375"/>
      <c r="L241" s="41" t="str">
        <f ca="1">$C241</f>
        <v>dead</v>
      </c>
      <c r="M241" s="443" t="str" cm="1">
        <f t="array" aca="1" ref="M241" ca="1">IF(INDIRECT("'Worksheet'!$D"&amp;$B231)=1, "Right of Pair", IF(INDIRECT("'Worksheet'!$E"&amp;$B231)=1, "Do Not Use"))</f>
        <v>Do Not Use</v>
      </c>
      <c r="N241" s="443"/>
      <c r="O241" s="443"/>
      <c r="P241" s="374"/>
      <c r="Q241" s="374"/>
      <c r="R241" s="375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+Worksheet!$W$4</f>
        <v>Gregory Mill WO#C5364027-00086.01</v>
      </c>
      <c r="E245" s="22"/>
      <c r="F245" s="23"/>
      <c r="G245" s="22"/>
      <c r="H245" s="24"/>
      <c r="I245" s="25">
        <f>+Worksheet!$AR$1</f>
        <v>33517</v>
      </c>
      <c r="J245" s="26"/>
      <c r="L245" s="164" t="s">
        <v>113</v>
      </c>
      <c r="M245" s="21" t="str">
        <f>+Worksheet!$W$4</f>
        <v>Gregory Mill WO#C5364027-00086.01</v>
      </c>
      <c r="N245" s="22"/>
      <c r="O245" s="23"/>
      <c r="P245" s="22"/>
      <c r="Q245" s="24"/>
      <c r="R245" s="25">
        <f>+Worksheet!$AR$1</f>
        <v>33517</v>
      </c>
    </row>
    <row r="246" spans="1:18" ht="32.25">
      <c r="C246" s="165" t="s">
        <v>128</v>
      </c>
      <c r="D246" s="150" cm="1">
        <f t="array" aca="1" ref="D246" ca="1">INDIRECT("'Worksheet'!$K"&amp;$B245)</f>
        <v>34</v>
      </c>
      <c r="E246" s="151" t="s">
        <v>115</v>
      </c>
      <c r="F246" s="150" cm="1">
        <f t="array" aca="1" ref="F246" ca="1">INDIRECT("'Worksheet'!$M"&amp;$B245)</f>
        <v>6.5</v>
      </c>
      <c r="G246" s="151" t="s">
        <v>122</v>
      </c>
      <c r="H246" s="150" cm="1">
        <f t="array" aca="1" ref="H246" ca="1">INDIRECT("'Worksheet'!$O"&amp;$B245)</f>
        <v>58</v>
      </c>
      <c r="I246" s="29" t="str">
        <f>+IF(Worksheet!$R$34=1,"Install",IF(Worksheet!$R$34=2,"Ship",IF(Worksheet!$R$34=3,"Deliver",IF(Worksheet!$R$34=4,"Will Call"))))</f>
        <v>Ship</v>
      </c>
      <c r="J246" s="30"/>
      <c r="L246" s="165" t="s">
        <v>128</v>
      </c>
      <c r="M246" s="150">
        <f t="shared" ref="M246:M254" ca="1" si="18">D246</f>
        <v>34</v>
      </c>
      <c r="N246" s="151" t="s">
        <v>115</v>
      </c>
      <c r="O246" s="152">
        <f ca="1">F246</f>
        <v>6.5</v>
      </c>
      <c r="P246" s="151" t="s">
        <v>122</v>
      </c>
      <c r="Q246" s="153">
        <f ca="1">H246</f>
        <v>58</v>
      </c>
      <c r="R246" s="29" t="str">
        <f>+IF(Worksheet!$R$34=1,"Install",IF(Worksheet!$R$34=2,"Ship",IF(Worksheet!$R$34=3,"Deliver",IF(Worksheet!$R$34=4,"Will Call"))))</f>
        <v>Ship</v>
      </c>
    </row>
    <row r="247" spans="1:18" ht="12.75" customHeight="1">
      <c r="C247" s="164" t="s">
        <v>121</v>
      </c>
      <c r="D247" s="19">
        <f ca="1">+IF($D255="Left of Pair",((D246+F246)*Worksheet!$AE$7)/2,IF($D255="Panel",(D246+F246)*Worksheet!$AE$7,IF($H255="SOR",D246*2.5+6,IF($H255="SOR T&amp;B",D246*2.5+6))))</f>
        <v>101.25</v>
      </c>
      <c r="E247" s="19" t="s">
        <v>122</v>
      </c>
      <c r="F247" s="369">
        <f ca="1">H246+15</f>
        <v>73</v>
      </c>
      <c r="G247" s="447" cm="1">
        <f t="array" aca="1" ref="G247" ca="1">INDIRECT("'Worksheet'!$Y"&amp;$B245)</f>
        <v>0</v>
      </c>
      <c r="H247" s="447"/>
      <c r="I247" s="448"/>
      <c r="L247" s="164" t="s">
        <v>121</v>
      </c>
      <c r="M247">
        <f t="shared" ca="1" si="18"/>
        <v>101.25</v>
      </c>
      <c r="N247" s="19" t="s">
        <v>122</v>
      </c>
      <c r="O247" s="369">
        <f ca="1">F247</f>
        <v>73</v>
      </c>
      <c r="P247" s="449">
        <f ca="1">G247</f>
        <v>0</v>
      </c>
      <c r="Q247" s="449"/>
      <c r="R247" s="450"/>
    </row>
    <row r="248" spans="1:18" ht="19.5" customHeight="1">
      <c r="C248" s="166"/>
      <c r="D248" s="161" cm="1">
        <f t="array" aca="1" ref="D248" ca="1">IF($D255="Left of Pair",INDIRECT("'Worksheet'!$Q"&amp;$B245)/2,IF($D255="Panel",INDIRECT("'Worksheet'!$Q"&amp;$B245)))</f>
        <v>1.4000000000000001</v>
      </c>
      <c r="E248" s="42" t="s">
        <v>41</v>
      </c>
      <c r="F248" s="370"/>
      <c r="G248" s="447"/>
      <c r="H248" s="447"/>
      <c r="I248" s="448"/>
      <c r="L248" s="166"/>
      <c r="M248" s="161">
        <f t="shared" ca="1" si="18"/>
        <v>1.4000000000000001</v>
      </c>
      <c r="N248" s="42" t="s">
        <v>41</v>
      </c>
      <c r="O248" s="370"/>
      <c r="P248" s="449"/>
      <c r="Q248" s="451"/>
      <c r="R248" s="452"/>
    </row>
    <row r="249" spans="1:18" ht="15.75">
      <c r="C249" s="164" t="s">
        <v>135</v>
      </c>
      <c r="D249" s="19">
        <f ca="1">+IF(D253="yes",IF($D255="Left of Pair",($D250*$H253),IF($D255="Panel",$D250*$H253,IF($H255="SOR",$D250*$H253," ")))," ")</f>
        <v>99.2</v>
      </c>
      <c r="E249" s="19" t="s">
        <v>122</v>
      </c>
      <c r="F249" s="369">
        <f ca="1">IF(D253="YES",H246+12," ")</f>
        <v>70</v>
      </c>
      <c r="H249" s="343" t="s">
        <v>10</v>
      </c>
      <c r="I249" s="371" cm="1">
        <f t="array" aca="1" ref="I249" ca="1">INDIRECT("'Worksheet'!$Q"&amp;B245)</f>
        <v>1.4000000000000001</v>
      </c>
      <c r="L249" s="164" t="s">
        <v>135</v>
      </c>
      <c r="M249">
        <f t="shared" ca="1" si="18"/>
        <v>99.2</v>
      </c>
      <c r="N249" s="19" t="s">
        <v>122</v>
      </c>
      <c r="O249" s="369">
        <f ca="1">F249</f>
        <v>70</v>
      </c>
      <c r="P249" s="19"/>
      <c r="Q249" s="343" t="s">
        <v>10</v>
      </c>
      <c r="R249" s="160">
        <f ca="1">I249</f>
        <v>1.4000000000000001</v>
      </c>
    </row>
    <row r="250" spans="1:18">
      <c r="C250" s="167"/>
      <c r="D250" s="161" cm="1">
        <f t="array" aca="1" ref="D250" ca="1">IF(D253="yes",IF($D255="Left of Pair",INDIRECT("'Worksheet'!$S"&amp;$B245)/2,IF($D255="Panel",INDIRECT("'Worksheet'!$S"&amp;$B245)))," ")</f>
        <v>1.6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40.5</v>
      </c>
      <c r="L250" s="167"/>
      <c r="M250" s="344">
        <f t="shared" ca="1" si="18"/>
        <v>1.6</v>
      </c>
      <c r="N250" s="345" t="s">
        <v>41</v>
      </c>
      <c r="O250" s="372"/>
      <c r="P250" s="20"/>
      <c r="Q250" s="343" t="s">
        <v>116</v>
      </c>
      <c r="R250" s="32">
        <f ca="1">I250</f>
        <v>40.5</v>
      </c>
    </row>
    <row r="251" spans="1:18" ht="12.75" customHeight="1">
      <c r="C251" s="168" t="s">
        <v>114</v>
      </c>
      <c r="D251" s="373" t="str" cm="1">
        <f t="array" aca="1" ref="D251" ca="1">INDIRECT("'Worksheet'!$B"&amp;$B245)</f>
        <v>Clerk #2</v>
      </c>
      <c r="E251" s="22"/>
      <c r="F251" s="23"/>
      <c r="G251" s="22"/>
      <c r="H251" s="24"/>
      <c r="I251" s="444" t="str" cm="1">
        <f t="array" aca="1" ref="I251" ca="1">INDIRECT("'Worksheet'!$A"&amp;$B245)</f>
        <v>P1-19</v>
      </c>
      <c r="L251" s="168" t="s">
        <v>114</v>
      </c>
      <c r="M251" s="31" t="str">
        <f t="shared" ca="1" si="18"/>
        <v>Clerk #2</v>
      </c>
      <c r="N251" s="20"/>
      <c r="O251" s="33"/>
      <c r="P251" s="27"/>
      <c r="Q251" s="24"/>
      <c r="R251" s="444" t="str">
        <f ca="1">I251</f>
        <v>P1-19</v>
      </c>
    </row>
    <row r="252" spans="1:18" ht="15.75" customHeight="1">
      <c r="C252" s="164" t="s">
        <v>117</v>
      </c>
      <c r="D252" s="346" cm="1">
        <f t="array" aca="1" ref="D252" ca="1">INDIRECT("'Worksheet'!$H"&amp;$B245)</f>
        <v>3.5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45"/>
      <c r="L252" s="164" t="s">
        <v>117</v>
      </c>
      <c r="M252" s="34">
        <f t="shared" ca="1" si="18"/>
        <v>3.5</v>
      </c>
      <c r="N252" s="20"/>
      <c r="O252" s="169" t="s">
        <v>118</v>
      </c>
      <c r="P252" s="35"/>
      <c r="Q252" s="36" t="str">
        <f>H252</f>
        <v>Yes</v>
      </c>
      <c r="R252" s="445"/>
    </row>
    <row r="253" spans="1:18" ht="15.75" customHeight="1">
      <c r="C253" s="164" t="s">
        <v>119</v>
      </c>
      <c r="D253" s="37" t="str">
        <f ca="1">IF($E253&gt;0,"YES"," ")</f>
        <v>YES</v>
      </c>
      <c r="E253" s="347" t="str" cm="1">
        <f t="array" aca="1" ref="E253" ca="1">INDIRECT("'Worksheet'!$X"&amp;$B245)</f>
        <v xml:space="preserve">Flameguard </v>
      </c>
      <c r="F253" s="39"/>
      <c r="G253" s="20"/>
      <c r="H253" s="391" cm="1">
        <f t="array" aca="1" ref="H253" ca="1">INDIRECT("'Worksheet'!$R"&amp;$B245)</f>
        <v>62</v>
      </c>
      <c r="I253" s="445"/>
      <c r="J253" s="40"/>
      <c r="L253" s="164" t="s">
        <v>119</v>
      </c>
      <c r="M253" s="37" t="str">
        <f t="shared" ca="1" si="18"/>
        <v>YES</v>
      </c>
      <c r="N253" s="38" t="str">
        <f ca="1">E253</f>
        <v xml:space="preserve">Flameguard </v>
      </c>
      <c r="O253" s="39"/>
      <c r="P253" s="20"/>
      <c r="Q253" s="392">
        <f ca="1">H253</f>
        <v>62</v>
      </c>
      <c r="R253" s="445"/>
    </row>
    <row r="254" spans="1:18" ht="15.75" customHeight="1">
      <c r="C254" s="164" t="s">
        <v>13</v>
      </c>
      <c r="D254" s="347" t="str" cm="1">
        <f t="array" aca="1" ref="D254" ca="1">INDIRECT("'Worksheet'!$W"&amp;$B245)</f>
        <v>5th Avenue 72</v>
      </c>
      <c r="E254" s="22"/>
      <c r="F254" s="23"/>
      <c r="G254" s="22"/>
      <c r="H254" s="391" cm="1">
        <f t="array" aca="1" ref="H254" ca="1">INDIRECT("'Worksheet'!$P"&amp;$B245)</f>
        <v>74</v>
      </c>
      <c r="I254" s="446"/>
      <c r="L254" s="164" t="s">
        <v>13</v>
      </c>
      <c r="M254" s="21" t="str">
        <f t="shared" ca="1" si="18"/>
        <v>5th Avenue 72</v>
      </c>
      <c r="N254" s="22"/>
      <c r="O254" s="23"/>
      <c r="P254" s="22"/>
      <c r="Q254" s="392">
        <f ca="1">H254</f>
        <v>74</v>
      </c>
      <c r="R254" s="446"/>
    </row>
    <row r="255" spans="1:18" ht="23.25">
      <c r="C255" s="348" t="str" cm="1">
        <f t="array" aca="1" ref="C255" ca="1">INDIRECT("'Worksheet'!$J"&amp;$B245)</f>
        <v>dead</v>
      </c>
      <c r="D255" s="443" t="str" cm="1">
        <f t="array" aca="1" ref="D255" ca="1">IF(INDIRECT("'Worksheet'!$D"&amp;$B245)=1, "Left of Pair", IF(INDIRECT("'Worksheet'!$E"&amp;$B245)=1, "Panel"))</f>
        <v>Panel</v>
      </c>
      <c r="E255" s="443"/>
      <c r="F255" s="443"/>
      <c r="G255" s="374"/>
      <c r="H255" s="374" t="str" cm="1">
        <f t="array" aca="1" ref="H255" ca="1">IF(INDIRECT("'Worksheet'!$F"&amp;$B245)="st","SOR T&amp;B"," ")</f>
        <v xml:space="preserve"> </v>
      </c>
      <c r="I255" s="375"/>
      <c r="L255" s="41" t="str">
        <f ca="1">$C255</f>
        <v>dead</v>
      </c>
      <c r="M255" s="443" t="str" cm="1">
        <f t="array" aca="1" ref="M255" ca="1">IF(INDIRECT("'Worksheet'!$D"&amp;$B245)=1, "Right of Pair", IF(INDIRECT("'Worksheet'!$E"&amp;$B245)=1, "Do Not Use"))</f>
        <v>Do Not Use</v>
      </c>
      <c r="N255" s="443"/>
      <c r="O255" s="443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+Worksheet!$W$4</f>
        <v>Gregory Mill WO#C5364027-00086.01</v>
      </c>
      <c r="E259" s="22"/>
      <c r="F259" s="23"/>
      <c r="G259" s="22"/>
      <c r="H259" s="24"/>
      <c r="I259" s="25">
        <f>+Worksheet!$AR$1</f>
        <v>33517</v>
      </c>
      <c r="J259" s="26"/>
      <c r="L259" s="164" t="s">
        <v>113</v>
      </c>
      <c r="M259" s="21" t="str">
        <f>+Worksheet!$W$4</f>
        <v>Gregory Mill WO#C5364027-00086.01</v>
      </c>
      <c r="N259" s="22"/>
      <c r="O259" s="23"/>
      <c r="P259" s="22"/>
      <c r="Q259" s="24"/>
      <c r="R259" s="25">
        <f>+Worksheet!$AR$1</f>
        <v>33517</v>
      </c>
    </row>
    <row r="260" spans="1:18" ht="32.25">
      <c r="C260" s="165" t="s">
        <v>128</v>
      </c>
      <c r="D260" s="150" cm="1">
        <f t="array" aca="1" ref="D260" ca="1">INDIRECT("'Worksheet'!$K"&amp;$B259)</f>
        <v>34</v>
      </c>
      <c r="E260" s="151" t="s">
        <v>115</v>
      </c>
      <c r="F260" s="150" cm="1">
        <f t="array" aca="1" ref="F260" ca="1">INDIRECT("'Worksheet'!$M"&amp;$B259)</f>
        <v>6.5</v>
      </c>
      <c r="G260" s="151" t="s">
        <v>122</v>
      </c>
      <c r="H260" s="150" cm="1">
        <f t="array" aca="1" ref="H260" ca="1">INDIRECT("'Worksheet'!$O"&amp;$B259)</f>
        <v>58</v>
      </c>
      <c r="I260" s="29" t="str">
        <f>+IF(Worksheet!$R$34=1,"Install",IF(Worksheet!$R$34=2,"Ship",IF(Worksheet!$R$34=3,"Deliver",IF(Worksheet!$R$34=4,"Will Call"))))</f>
        <v>Ship</v>
      </c>
      <c r="J260" s="30"/>
      <c r="L260" s="165" t="s">
        <v>128</v>
      </c>
      <c r="M260" s="150">
        <f t="shared" ref="M260:M268" ca="1" si="19">D260</f>
        <v>34</v>
      </c>
      <c r="N260" s="151" t="s">
        <v>115</v>
      </c>
      <c r="O260" s="152">
        <f ca="1">F260</f>
        <v>6.5</v>
      </c>
      <c r="P260" s="151" t="s">
        <v>122</v>
      </c>
      <c r="Q260" s="153">
        <f ca="1">H260</f>
        <v>58</v>
      </c>
      <c r="R260" s="29" t="str">
        <f>+IF(Worksheet!$R$34=1,"Install",IF(Worksheet!$R$34=2,"Ship",IF(Worksheet!$R$34=3,"Deliver",IF(Worksheet!$R$34=4,"Will Call"))))</f>
        <v>Ship</v>
      </c>
    </row>
    <row r="261" spans="1:18" ht="12.75" customHeight="1">
      <c r="C261" s="164" t="s">
        <v>121</v>
      </c>
      <c r="D261" s="19">
        <f ca="1">+IF($D269="Left of Pair",((D260+F260)*Worksheet!$AE$7)/2,IF($D269="Panel",(D260+F260)*Worksheet!$AE$7,IF($H269="SOR",D260*2.5+6,IF($H269="SOR T&amp;B",D260*2.5+6))))</f>
        <v>101.25</v>
      </c>
      <c r="E261" s="19" t="s">
        <v>122</v>
      </c>
      <c r="F261" s="369">
        <f ca="1">H260+15</f>
        <v>73</v>
      </c>
      <c r="G261" s="447" cm="1">
        <f t="array" aca="1" ref="G261" ca="1">INDIRECT("'Worksheet'!$Y"&amp;$B259)</f>
        <v>0</v>
      </c>
      <c r="H261" s="447"/>
      <c r="I261" s="448"/>
      <c r="L261" s="164" t="s">
        <v>121</v>
      </c>
      <c r="M261">
        <f t="shared" ca="1" si="19"/>
        <v>101.25</v>
      </c>
      <c r="N261" s="19" t="s">
        <v>122</v>
      </c>
      <c r="O261" s="369">
        <f ca="1">F261</f>
        <v>73</v>
      </c>
      <c r="P261" s="449">
        <f ca="1">G261</f>
        <v>0</v>
      </c>
      <c r="Q261" s="449"/>
      <c r="R261" s="450"/>
    </row>
    <row r="262" spans="1:18" ht="19.5" customHeight="1">
      <c r="C262" s="166"/>
      <c r="D262" s="161" cm="1">
        <f t="array" aca="1" ref="D262" ca="1">IF($D269="Left of Pair",INDIRECT("'Worksheet'!$Q"&amp;$B259)/2,IF($D269="Panel",INDIRECT("'Worksheet'!$Q"&amp;$B259)))</f>
        <v>1.4000000000000001</v>
      </c>
      <c r="E262" s="42" t="s">
        <v>41</v>
      </c>
      <c r="F262" s="370"/>
      <c r="G262" s="447"/>
      <c r="H262" s="447"/>
      <c r="I262" s="448"/>
      <c r="L262" s="166"/>
      <c r="M262" s="161">
        <f t="shared" ca="1" si="19"/>
        <v>1.4000000000000001</v>
      </c>
      <c r="N262" s="42" t="s">
        <v>41</v>
      </c>
      <c r="O262" s="370"/>
      <c r="P262" s="449"/>
      <c r="Q262" s="451"/>
      <c r="R262" s="452"/>
    </row>
    <row r="263" spans="1:18" ht="15.75">
      <c r="C263" s="164" t="s">
        <v>135</v>
      </c>
      <c r="D263" s="19">
        <f ca="1">+IF(D267="yes",IF($D269="Left of Pair",($D264*$H267),IF($D269="Panel",$D264*$H267,IF($H269="SOR",$D264*$H267," ")))," ")</f>
        <v>99.2</v>
      </c>
      <c r="E263" s="19" t="s">
        <v>122</v>
      </c>
      <c r="F263" s="369">
        <f ca="1">IF(D267="YES",H260+12," ")</f>
        <v>70</v>
      </c>
      <c r="H263" s="343" t="s">
        <v>10</v>
      </c>
      <c r="I263" s="371" cm="1">
        <f t="array" aca="1" ref="I263" ca="1">INDIRECT("'Worksheet'!$Q"&amp;B259)</f>
        <v>1.4000000000000001</v>
      </c>
      <c r="L263" s="164" t="s">
        <v>135</v>
      </c>
      <c r="M263">
        <f t="shared" ca="1" si="19"/>
        <v>99.2</v>
      </c>
      <c r="N263" s="19" t="s">
        <v>122</v>
      </c>
      <c r="O263" s="369">
        <f ca="1">F263</f>
        <v>70</v>
      </c>
      <c r="P263" s="19"/>
      <c r="Q263" s="343" t="s">
        <v>10</v>
      </c>
      <c r="R263" s="160">
        <f ca="1">I263</f>
        <v>1.4000000000000001</v>
      </c>
    </row>
    <row r="264" spans="1:18">
      <c r="C264" s="167"/>
      <c r="D264" s="161" cm="1">
        <f t="array" aca="1" ref="D264" ca="1">IF(D267="yes",IF($D269="Left of Pair",INDIRECT("'Worksheet'!$S"&amp;$B259)/2,IF($D269="Panel",INDIRECT("'Worksheet'!$S"&amp;$B259)))," ")</f>
        <v>1.6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40.5</v>
      </c>
      <c r="L264" s="167"/>
      <c r="M264" s="344">
        <f t="shared" ca="1" si="19"/>
        <v>1.6</v>
      </c>
      <c r="N264" s="345" t="s">
        <v>41</v>
      </c>
      <c r="O264" s="372"/>
      <c r="P264" s="20"/>
      <c r="Q264" s="343" t="s">
        <v>116</v>
      </c>
      <c r="R264" s="32">
        <f ca="1">I264</f>
        <v>40.5</v>
      </c>
    </row>
    <row r="265" spans="1:18" ht="12.75" customHeight="1">
      <c r="C265" s="168" t="s">
        <v>114</v>
      </c>
      <c r="D265" s="373" t="str" cm="1">
        <f t="array" aca="1" ref="D265" ca="1">INDIRECT("'Worksheet'!$B"&amp;$B259)</f>
        <v>Bishop #3</v>
      </c>
      <c r="E265" s="22"/>
      <c r="F265" s="23"/>
      <c r="G265" s="22"/>
      <c r="H265" s="24"/>
      <c r="I265" s="444" t="str" cm="1">
        <f t="array" aca="1" ref="I265" ca="1">INDIRECT("'Worksheet'!$A"&amp;$B259)</f>
        <v>P1-20</v>
      </c>
      <c r="L265" s="168" t="s">
        <v>114</v>
      </c>
      <c r="M265" s="31" t="str">
        <f t="shared" ca="1" si="19"/>
        <v>Bishop #3</v>
      </c>
      <c r="N265" s="20"/>
      <c r="O265" s="33"/>
      <c r="P265" s="27"/>
      <c r="Q265" s="24"/>
      <c r="R265" s="444" t="str">
        <f ca="1">I265</f>
        <v>P1-20</v>
      </c>
    </row>
    <row r="266" spans="1:18" ht="15.75" customHeight="1">
      <c r="C266" s="164" t="s">
        <v>117</v>
      </c>
      <c r="D266" s="346" cm="1">
        <f t="array" aca="1" ref="D266" ca="1">INDIRECT("'Worksheet'!$H"&amp;$B259)</f>
        <v>3.5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45"/>
      <c r="L266" s="164" t="s">
        <v>117</v>
      </c>
      <c r="M266" s="34">
        <f t="shared" ca="1" si="19"/>
        <v>3.5</v>
      </c>
      <c r="N266" s="20"/>
      <c r="O266" s="169" t="s">
        <v>118</v>
      </c>
      <c r="P266" s="35"/>
      <c r="Q266" s="36" t="str">
        <f>H266</f>
        <v>Yes</v>
      </c>
      <c r="R266" s="445"/>
    </row>
    <row r="267" spans="1:18" ht="15.75" customHeight="1">
      <c r="C267" s="164" t="s">
        <v>119</v>
      </c>
      <c r="D267" s="37" t="str">
        <f ca="1">IF($E267&gt;0,"YES"," ")</f>
        <v>YES</v>
      </c>
      <c r="E267" s="347" t="str" cm="1">
        <f t="array" aca="1" ref="E267" ca="1">INDIRECT("'Worksheet'!$X"&amp;$B259)</f>
        <v xml:space="preserve">Flameguard </v>
      </c>
      <c r="F267" s="39"/>
      <c r="G267" s="20"/>
      <c r="H267" s="391" cm="1">
        <f t="array" aca="1" ref="H267" ca="1">INDIRECT("'Worksheet'!$R"&amp;$B259)</f>
        <v>62</v>
      </c>
      <c r="I267" s="445"/>
      <c r="J267" s="40"/>
      <c r="L267" s="164" t="s">
        <v>119</v>
      </c>
      <c r="M267" s="37" t="str">
        <f t="shared" ca="1" si="19"/>
        <v>YES</v>
      </c>
      <c r="N267" s="38" t="str">
        <f ca="1">E267</f>
        <v xml:space="preserve">Flameguard </v>
      </c>
      <c r="O267" s="39"/>
      <c r="P267" s="20"/>
      <c r="Q267" s="392">
        <f ca="1">H267</f>
        <v>62</v>
      </c>
      <c r="R267" s="445"/>
    </row>
    <row r="268" spans="1:18" ht="15.75" customHeight="1">
      <c r="C268" s="164" t="s">
        <v>13</v>
      </c>
      <c r="D268" s="347" t="str" cm="1">
        <f t="array" aca="1" ref="D268" ca="1">INDIRECT("'Worksheet'!$W"&amp;$B259)</f>
        <v>5th Avenue 72</v>
      </c>
      <c r="E268" s="22"/>
      <c r="F268" s="23"/>
      <c r="G268" s="22"/>
      <c r="H268" s="391" cm="1">
        <f t="array" aca="1" ref="H268" ca="1">INDIRECT("'Worksheet'!$P"&amp;$B259)</f>
        <v>74</v>
      </c>
      <c r="I268" s="446"/>
      <c r="L268" s="164" t="s">
        <v>13</v>
      </c>
      <c r="M268" s="21" t="str">
        <f t="shared" ca="1" si="19"/>
        <v>5th Avenue 72</v>
      </c>
      <c r="N268" s="22"/>
      <c r="O268" s="23"/>
      <c r="P268" s="22"/>
      <c r="Q268" s="392">
        <f ca="1">H268</f>
        <v>74</v>
      </c>
      <c r="R268" s="446"/>
    </row>
    <row r="269" spans="1:18" ht="23.25">
      <c r="C269" s="348" t="str" cm="1">
        <f t="array" aca="1" ref="C269" ca="1">INDIRECT("'Worksheet'!$J"&amp;$B259)</f>
        <v>dead</v>
      </c>
      <c r="D269" s="443" t="str" cm="1">
        <f t="array" aca="1" ref="D269" ca="1">IF(INDIRECT("'Worksheet'!$D"&amp;$B259)=1, "Left of Pair", IF(INDIRECT("'Worksheet'!$E"&amp;$B259)=1, "Panel"))</f>
        <v>Panel</v>
      </c>
      <c r="E269" s="443"/>
      <c r="F269" s="443"/>
      <c r="G269" s="374"/>
      <c r="H269" s="374" t="str" cm="1">
        <f t="array" aca="1" ref="H269" ca="1">IF(INDIRECT("'Worksheet'!$F"&amp;$B259)="st","SOR T&amp;B"," ")</f>
        <v xml:space="preserve"> </v>
      </c>
      <c r="I269" s="375"/>
      <c r="L269" s="41" t="str">
        <f ca="1">$C269</f>
        <v>dead</v>
      </c>
      <c r="M269" s="443" t="str" cm="1">
        <f t="array" aca="1" ref="M269" ca="1">IF(INDIRECT("'Worksheet'!$D"&amp;$B259)=1, "Right of Pair", IF(INDIRECT("'Worksheet'!$E"&amp;$B259)=1, "Do Not Use"))</f>
        <v>Do Not Use</v>
      </c>
      <c r="N269" s="443"/>
      <c r="O269" s="443"/>
      <c r="P269" s="374"/>
      <c r="Q269" s="374"/>
      <c r="R269" s="375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4" t="s">
        <v>2555</v>
      </c>
      <c r="P1" s="454"/>
      <c r="Q1" s="454"/>
      <c r="R1" s="454"/>
      <c r="S1" s="454"/>
      <c r="T1" s="47"/>
      <c r="U1" s="47"/>
      <c r="V1" s="47"/>
      <c r="X1" s="307" t="s">
        <v>2556</v>
      </c>
      <c r="Y1" s="308">
        <f>Worksheet!AR1</f>
        <v>33517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2557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0" t="s">
        <v>2532</v>
      </c>
      <c r="Q4" s="420"/>
      <c r="R4" s="417">
        <f>Worksheet!R4</f>
        <v>45823</v>
      </c>
      <c r="S4" s="417"/>
      <c r="T4" s="417"/>
      <c r="U4" s="171"/>
      <c r="Y4" s="303" t="s">
        <v>2297</v>
      </c>
      <c r="Z4" s="211">
        <f>Worksheet!Z4</f>
        <v>1</v>
      </c>
    </row>
    <row r="5" spans="1:26" s="53" customFormat="1" ht="15.95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3" t="str">
        <f>Worksheet!W4</f>
        <v>Gregory Mill WO#C5364027-00086.01</v>
      </c>
      <c r="X6" s="453"/>
      <c r="Y6" s="321"/>
      <c r="Z6" s="66"/>
    </row>
    <row r="7" spans="1:26" s="53" customFormat="1" ht="15.75" customHeight="1">
      <c r="A7" s="198"/>
      <c r="B7" s="314"/>
      <c r="C7" s="322"/>
      <c r="D7" s="319" t="s">
        <v>2559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Primary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34</v>
      </c>
      <c r="H11" s="114">
        <f>Worksheet!H11</f>
        <v>3.5</v>
      </c>
      <c r="I11" s="111">
        <f>Worksheet!I11</f>
        <v>57.5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34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57.5</v>
      </c>
      <c r="P11" s="250">
        <f>Worksheet!P11</f>
        <v>74</v>
      </c>
      <c r="Q11" s="324">
        <f>Worksheet!Q11</f>
        <v>1.4000000000000001</v>
      </c>
      <c r="R11" s="250">
        <f>Worksheet!R11</f>
        <v>62</v>
      </c>
      <c r="S11" s="325">
        <f>Worksheet!S11</f>
        <v>1.6</v>
      </c>
      <c r="T11" s="113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Primary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34</v>
      </c>
      <c r="H12" s="114">
        <f>Worksheet!H12</f>
        <v>3.5</v>
      </c>
      <c r="I12" s="111">
        <f>Worksheet!I12</f>
        <v>57.5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34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57.5</v>
      </c>
      <c r="P12" s="250">
        <f>Worksheet!P12</f>
        <v>74</v>
      </c>
      <c r="Q12" s="324">
        <f>Worksheet!Q12</f>
        <v>1.4000000000000001</v>
      </c>
      <c r="R12" s="250">
        <f>Worksheet!R12</f>
        <v>62</v>
      </c>
      <c r="S12" s="325">
        <f>Worksheet!S12</f>
        <v>1.6</v>
      </c>
      <c r="T12" s="113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Primary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34</v>
      </c>
      <c r="H13" s="114">
        <f>Worksheet!H13</f>
        <v>3.5</v>
      </c>
      <c r="I13" s="111">
        <f>Worksheet!I13</f>
        <v>57.5</v>
      </c>
      <c r="J13" s="245" t="str">
        <f t="shared" si="1"/>
        <v>dead</v>
      </c>
      <c r="K13" s="245">
        <f t="shared" si="2"/>
        <v>34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57.5</v>
      </c>
      <c r="P13" s="250">
        <f>Worksheet!P13</f>
        <v>74</v>
      </c>
      <c r="Q13" s="324">
        <f>Worksheet!Q13</f>
        <v>1.4000000000000001</v>
      </c>
      <c r="R13" s="250">
        <f>Worksheet!R13</f>
        <v>62</v>
      </c>
      <c r="S13" s="325">
        <f>Worksheet!S13</f>
        <v>1.6</v>
      </c>
      <c r="T13" s="113"/>
      <c r="U13" s="244">
        <f t="shared" si="5"/>
        <v>1</v>
      </c>
      <c r="V13" s="221" t="str">
        <f>Worksheet!V13</f>
        <v>SKSCM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Primary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34</v>
      </c>
      <c r="H14" s="114">
        <f>Worksheet!H14</f>
        <v>3.5</v>
      </c>
      <c r="I14" s="111">
        <f>Worksheet!I14</f>
        <v>57.5</v>
      </c>
      <c r="J14" s="245" t="str">
        <f t="shared" si="1"/>
        <v>dead</v>
      </c>
      <c r="K14" s="245">
        <f t="shared" si="2"/>
        <v>34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57.5</v>
      </c>
      <c r="P14" s="250">
        <f>Worksheet!P14</f>
        <v>74</v>
      </c>
      <c r="Q14" s="324">
        <f>Worksheet!Q14</f>
        <v>1.4000000000000001</v>
      </c>
      <c r="R14" s="250">
        <f>Worksheet!R14</f>
        <v>62</v>
      </c>
      <c r="S14" s="325">
        <f>Worksheet!S14</f>
        <v>1.6</v>
      </c>
      <c r="T14" s="113">
        <v>0</v>
      </c>
      <c r="U14" s="244">
        <f t="shared" si="5"/>
        <v>1</v>
      </c>
      <c r="V14" s="221" t="str">
        <f>Worksheet!V14</f>
        <v>SKSCM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RS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34</v>
      </c>
      <c r="H15" s="114">
        <f>Worksheet!H15</f>
        <v>3.5</v>
      </c>
      <c r="I15" s="111">
        <f>Worksheet!I15</f>
        <v>57.5</v>
      </c>
      <c r="J15" s="245" t="str">
        <f t="shared" si="1"/>
        <v>dead</v>
      </c>
      <c r="K15" s="245">
        <f t="shared" si="2"/>
        <v>34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57.5</v>
      </c>
      <c r="P15" s="250">
        <f>Worksheet!P15</f>
        <v>74</v>
      </c>
      <c r="Q15" s="324">
        <f>Worksheet!Q15</f>
        <v>1.4000000000000001</v>
      </c>
      <c r="R15" s="250">
        <f>Worksheet!R15</f>
        <v>62</v>
      </c>
      <c r="S15" s="325">
        <f>Worksheet!S15</f>
        <v>1.6</v>
      </c>
      <c r="T15" s="113">
        <v>0</v>
      </c>
      <c r="U15" s="244">
        <f t="shared" si="5"/>
        <v>1</v>
      </c>
      <c r="V15" s="221" t="str">
        <f>Worksheet!V15</f>
        <v>SKSCM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RS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34</v>
      </c>
      <c r="H16" s="114">
        <f>Worksheet!H16</f>
        <v>3.5</v>
      </c>
      <c r="I16" s="111">
        <f>Worksheet!I16</f>
        <v>57.5</v>
      </c>
      <c r="J16" s="245" t="str">
        <f t="shared" si="1"/>
        <v>dead</v>
      </c>
      <c r="K16" s="245">
        <f t="shared" si="2"/>
        <v>34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57.5</v>
      </c>
      <c r="P16" s="250">
        <f>Worksheet!P16</f>
        <v>74</v>
      </c>
      <c r="Q16" s="324">
        <f>Worksheet!Q16</f>
        <v>1.4000000000000001</v>
      </c>
      <c r="R16" s="250">
        <f>Worksheet!R16</f>
        <v>62</v>
      </c>
      <c r="S16" s="325">
        <f>Worksheet!S16</f>
        <v>1.6</v>
      </c>
      <c r="T16" s="113">
        <v>0</v>
      </c>
      <c r="U16" s="244">
        <f t="shared" si="5"/>
        <v>1</v>
      </c>
      <c r="V16" s="221" t="str">
        <f>Worksheet!V16</f>
        <v>SKSCM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RS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34</v>
      </c>
      <c r="H17" s="114">
        <f>Worksheet!H17</f>
        <v>3.5</v>
      </c>
      <c r="I17" s="111">
        <f>Worksheet!I17</f>
        <v>57.5</v>
      </c>
      <c r="J17" s="245" t="str">
        <f t="shared" si="1"/>
        <v>dead</v>
      </c>
      <c r="K17" s="245">
        <f t="shared" si="2"/>
        <v>34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57.5</v>
      </c>
      <c r="P17" s="250">
        <f>Worksheet!P17</f>
        <v>74</v>
      </c>
      <c r="Q17" s="324">
        <f>Worksheet!Q17</f>
        <v>1.4000000000000001</v>
      </c>
      <c r="R17" s="250">
        <f>Worksheet!R17</f>
        <v>62</v>
      </c>
      <c r="S17" s="325">
        <f>Worksheet!S17</f>
        <v>1.6</v>
      </c>
      <c r="T17" s="113">
        <v>0</v>
      </c>
      <c r="U17" s="244">
        <f t="shared" si="5"/>
        <v>1</v>
      </c>
      <c r="V17" s="221" t="str">
        <f>Worksheet!V17</f>
        <v>SKSCM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RS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34</v>
      </c>
      <c r="H18" s="114">
        <f>Worksheet!H18</f>
        <v>3.5</v>
      </c>
      <c r="I18" s="111">
        <f>Worksheet!I18</f>
        <v>57.5</v>
      </c>
      <c r="J18" s="245" t="str">
        <f t="shared" si="1"/>
        <v>dead</v>
      </c>
      <c r="K18" s="245">
        <f t="shared" si="2"/>
        <v>34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57.5</v>
      </c>
      <c r="P18" s="250">
        <f>Worksheet!P18</f>
        <v>74</v>
      </c>
      <c r="Q18" s="324">
        <f>Worksheet!Q18</f>
        <v>1.4000000000000001</v>
      </c>
      <c r="R18" s="250">
        <f>Worksheet!R18</f>
        <v>62</v>
      </c>
      <c r="S18" s="325">
        <f>Worksheet!S18</f>
        <v>1.6</v>
      </c>
      <c r="T18" s="113">
        <v>0</v>
      </c>
      <c r="U18" s="244">
        <f t="shared" si="5"/>
        <v>1</v>
      </c>
      <c r="V18" s="221" t="str">
        <f>Worksheet!V18</f>
        <v>SKSCM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FHC</v>
      </c>
      <c r="C19" s="155" t="str">
        <f>Worksheet!C19</f>
        <v>X</v>
      </c>
      <c r="D19" s="112">
        <f>Worksheet!D19</f>
        <v>0</v>
      </c>
      <c r="E19" s="113">
        <f>Worksheet!E19</f>
        <v>1</v>
      </c>
      <c r="F19" s="113" t="str">
        <f>Worksheet!F19</f>
        <v>D</v>
      </c>
      <c r="G19" s="111">
        <f>Worksheet!G19</f>
        <v>34</v>
      </c>
      <c r="H19" s="114">
        <f>Worksheet!H19</f>
        <v>3.5</v>
      </c>
      <c r="I19" s="111">
        <f>Worksheet!I19</f>
        <v>58</v>
      </c>
      <c r="J19" s="245" t="str">
        <f t="shared" si="1"/>
        <v>dead</v>
      </c>
      <c r="K19" s="245">
        <f>+G19</f>
        <v>34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58</v>
      </c>
      <c r="P19" s="250">
        <f>Worksheet!P19</f>
        <v>74</v>
      </c>
      <c r="Q19" s="324">
        <f>Worksheet!Q19</f>
        <v>1.4000000000000001</v>
      </c>
      <c r="R19" s="250">
        <f>Worksheet!R19</f>
        <v>60</v>
      </c>
      <c r="S19" s="325">
        <f>Worksheet!S19</f>
        <v>1.6</v>
      </c>
      <c r="T19" s="113">
        <v>0</v>
      </c>
      <c r="U19" s="244">
        <f t="shared" si="5"/>
        <v>1</v>
      </c>
      <c r="V19" s="221" t="str">
        <f>Worksheet!V19</f>
        <v>SKSCM</v>
      </c>
      <c r="W19" s="221" t="str">
        <f>Worksheet!W19</f>
        <v>5th Avenue 72</v>
      </c>
      <c r="X19" s="222" t="str">
        <f>Worksheet!X19</f>
        <v xml:space="preserve">Liteless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Clerk #1</v>
      </c>
      <c r="C20" s="155" t="str">
        <f>Worksheet!C20</f>
        <v>X</v>
      </c>
      <c r="D20" s="112">
        <f>Worksheet!D20</f>
        <v>0</v>
      </c>
      <c r="E20" s="113">
        <f>Worksheet!E20</f>
        <v>1</v>
      </c>
      <c r="F20" s="113" t="str">
        <f>Worksheet!F20</f>
        <v>D</v>
      </c>
      <c r="G20" s="111">
        <f>Worksheet!G20</f>
        <v>34</v>
      </c>
      <c r="H20" s="114">
        <f>Worksheet!H20</f>
        <v>3.5</v>
      </c>
      <c r="I20" s="111">
        <f>Worksheet!I20</f>
        <v>57.5</v>
      </c>
      <c r="J20" s="245" t="str">
        <f t="shared" si="1"/>
        <v>dead</v>
      </c>
      <c r="K20" s="245">
        <f>+G20</f>
        <v>34</v>
      </c>
      <c r="L20" s="246" t="str">
        <f>IF(F20&gt;"r",0,IF(G20&gt;0,"+",0))</f>
        <v>+</v>
      </c>
      <c r="M20" s="247">
        <f>Worksheet!M20</f>
        <v>6.5</v>
      </c>
      <c r="N20" s="248" t="str">
        <f>IF(G20&gt;0,"x",0)</f>
        <v>x</v>
      </c>
      <c r="O20" s="249">
        <f>+I20</f>
        <v>57.5</v>
      </c>
      <c r="P20" s="250">
        <f>Worksheet!P20</f>
        <v>74</v>
      </c>
      <c r="Q20" s="324">
        <f>Worksheet!Q20</f>
        <v>1.4000000000000001</v>
      </c>
      <c r="R20" s="250">
        <f>Worksheet!R20</f>
        <v>62</v>
      </c>
      <c r="S20" s="325">
        <f>Worksheet!S20</f>
        <v>1.6</v>
      </c>
      <c r="T20" s="113">
        <v>0</v>
      </c>
      <c r="U20" s="244">
        <f>+D20+E20</f>
        <v>1</v>
      </c>
      <c r="V20" s="221" t="str">
        <f>Worksheet!V20</f>
        <v>SKSCM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Bishop #1</v>
      </c>
      <c r="C21" s="155" t="str">
        <f>Worksheet!C21</f>
        <v>X</v>
      </c>
      <c r="D21" s="112">
        <f>Worksheet!D21</f>
        <v>0</v>
      </c>
      <c r="E21" s="113">
        <f>Worksheet!E21</f>
        <v>1</v>
      </c>
      <c r="F21" s="113" t="str">
        <f>Worksheet!F21</f>
        <v>D</v>
      </c>
      <c r="G21" s="111">
        <f>Worksheet!G21</f>
        <v>34</v>
      </c>
      <c r="H21" s="114">
        <f>Worksheet!H21</f>
        <v>3.5</v>
      </c>
      <c r="I21" s="111">
        <f>Worksheet!I21</f>
        <v>57.5</v>
      </c>
      <c r="J21" s="245" t="str">
        <f t="shared" si="1"/>
        <v>dead</v>
      </c>
      <c r="K21" s="245">
        <f t="shared" si="2"/>
        <v>34</v>
      </c>
      <c r="L21" s="246" t="str">
        <f t="shared" si="3"/>
        <v>+</v>
      </c>
      <c r="M21" s="247">
        <f>Worksheet!M21</f>
        <v>6.5</v>
      </c>
      <c r="N21" s="248" t="str">
        <f t="shared" si="4"/>
        <v>x</v>
      </c>
      <c r="O21" s="249">
        <f t="shared" si="0"/>
        <v>57.5</v>
      </c>
      <c r="P21" s="250">
        <f>Worksheet!P21</f>
        <v>74</v>
      </c>
      <c r="Q21" s="324">
        <f>Worksheet!Q21</f>
        <v>1.4000000000000001</v>
      </c>
      <c r="R21" s="250">
        <f>Worksheet!R21</f>
        <v>62</v>
      </c>
      <c r="S21" s="325">
        <f>Worksheet!S21</f>
        <v>1.6</v>
      </c>
      <c r="T21" s="113">
        <v>0</v>
      </c>
      <c r="U21" s="244">
        <f t="shared" si="5"/>
        <v>1</v>
      </c>
      <c r="V21" s="221" t="str">
        <f>Worksheet!V21</f>
        <v>SKSCM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YW</v>
      </c>
      <c r="C22" s="155" t="str">
        <f>Worksheet!C22</f>
        <v>X</v>
      </c>
      <c r="D22" s="112">
        <f>Worksheet!D22</f>
        <v>0</v>
      </c>
      <c r="E22" s="113">
        <f>Worksheet!E22</f>
        <v>1</v>
      </c>
      <c r="F22" s="113" t="str">
        <f>Worksheet!F22</f>
        <v>D</v>
      </c>
      <c r="G22" s="111">
        <f>Worksheet!G22</f>
        <v>34</v>
      </c>
      <c r="H22" s="114">
        <f>Worksheet!H22</f>
        <v>3.5</v>
      </c>
      <c r="I22" s="111">
        <f>Worksheet!I22</f>
        <v>58</v>
      </c>
      <c r="J22" s="245" t="str">
        <f t="shared" si="1"/>
        <v>dead</v>
      </c>
      <c r="K22" s="245">
        <f t="shared" si="2"/>
        <v>34</v>
      </c>
      <c r="L22" s="246" t="str">
        <f t="shared" si="3"/>
        <v>+</v>
      </c>
      <c r="M22" s="247">
        <f>Worksheet!M22</f>
        <v>6.5</v>
      </c>
      <c r="N22" s="248" t="str">
        <f t="shared" si="4"/>
        <v>x</v>
      </c>
      <c r="O22" s="249">
        <f t="shared" si="0"/>
        <v>58</v>
      </c>
      <c r="P22" s="250">
        <f>Worksheet!P22</f>
        <v>74</v>
      </c>
      <c r="Q22" s="324">
        <f>Worksheet!Q22</f>
        <v>1.4000000000000001</v>
      </c>
      <c r="R22" s="250">
        <f>Worksheet!R22</f>
        <v>62</v>
      </c>
      <c r="S22" s="325">
        <f>Worksheet!S22</f>
        <v>1.6</v>
      </c>
      <c r="T22" s="113">
        <v>0</v>
      </c>
      <c r="U22" s="244">
        <f t="shared" si="5"/>
        <v>1</v>
      </c>
      <c r="V22" s="221" t="str">
        <f>Worksheet!V22</f>
        <v>SKSCM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YW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D</v>
      </c>
      <c r="G23" s="111">
        <f>Worksheet!G23</f>
        <v>34</v>
      </c>
      <c r="H23" s="114">
        <f>Worksheet!H23</f>
        <v>3.5</v>
      </c>
      <c r="I23" s="111">
        <f>Worksheet!I23</f>
        <v>58</v>
      </c>
      <c r="J23" s="245" t="str">
        <f t="shared" si="1"/>
        <v>dead</v>
      </c>
      <c r="K23" s="245">
        <f t="shared" si="2"/>
        <v>34</v>
      </c>
      <c r="L23" s="246" t="str">
        <f t="shared" si="3"/>
        <v>+</v>
      </c>
      <c r="M23" s="247">
        <f>Worksheet!M23</f>
        <v>6.5</v>
      </c>
      <c r="N23" s="248" t="str">
        <f t="shared" si="4"/>
        <v>x</v>
      </c>
      <c r="O23" s="249">
        <f t="shared" si="0"/>
        <v>58</v>
      </c>
      <c r="P23" s="250">
        <f>Worksheet!P23</f>
        <v>74</v>
      </c>
      <c r="Q23" s="324">
        <f>Worksheet!Q23</f>
        <v>1.4000000000000001</v>
      </c>
      <c r="R23" s="250">
        <f>Worksheet!R23</f>
        <v>62</v>
      </c>
      <c r="S23" s="325">
        <f>Worksheet!S23</f>
        <v>1.6</v>
      </c>
      <c r="T23" s="113">
        <v>0</v>
      </c>
      <c r="U23" s="244">
        <f t="shared" si="5"/>
        <v>1</v>
      </c>
      <c r="V23" s="221" t="str">
        <f>Worksheet!V23</f>
        <v>SKSCM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YW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D</v>
      </c>
      <c r="G24" s="111">
        <f>Worksheet!G24</f>
        <v>34</v>
      </c>
      <c r="H24" s="114">
        <f>Worksheet!H24</f>
        <v>3.5</v>
      </c>
      <c r="I24" s="111">
        <f>Worksheet!I24</f>
        <v>58</v>
      </c>
      <c r="J24" s="245" t="str">
        <f t="shared" si="1"/>
        <v>dead</v>
      </c>
      <c r="K24" s="245">
        <f t="shared" si="2"/>
        <v>34</v>
      </c>
      <c r="L24" s="246" t="str">
        <f t="shared" si="3"/>
        <v>+</v>
      </c>
      <c r="M24" s="247">
        <f>Worksheet!M24</f>
        <v>6.5</v>
      </c>
      <c r="N24" s="248" t="str">
        <f t="shared" si="4"/>
        <v>x</v>
      </c>
      <c r="O24" s="249">
        <f t="shared" si="0"/>
        <v>58</v>
      </c>
      <c r="P24" s="250">
        <f>Worksheet!P24</f>
        <v>74</v>
      </c>
      <c r="Q24" s="324">
        <f>Worksheet!Q24</f>
        <v>1.4000000000000001</v>
      </c>
      <c r="R24" s="250">
        <f>Worksheet!R24</f>
        <v>62</v>
      </c>
      <c r="S24" s="325">
        <f>Worksheet!S24</f>
        <v>1.6</v>
      </c>
      <c r="T24" s="113">
        <v>0</v>
      </c>
      <c r="U24" s="244">
        <f t="shared" si="5"/>
        <v>1</v>
      </c>
      <c r="V24" s="221" t="str">
        <f>Worksheet!V24</f>
        <v>SKSCM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YW</v>
      </c>
      <c r="C25" s="155" t="str">
        <f>Worksheet!C25</f>
        <v>X</v>
      </c>
      <c r="D25" s="112">
        <f>Worksheet!D25</f>
        <v>0</v>
      </c>
      <c r="E25" s="113">
        <f>Worksheet!E25</f>
        <v>1</v>
      </c>
      <c r="F25" s="113" t="str">
        <f>Worksheet!F25</f>
        <v>D</v>
      </c>
      <c r="G25" s="111">
        <f>Worksheet!G25</f>
        <v>34</v>
      </c>
      <c r="H25" s="114">
        <f>Worksheet!H25</f>
        <v>3.5</v>
      </c>
      <c r="I25" s="111">
        <f>Worksheet!I25</f>
        <v>58</v>
      </c>
      <c r="J25" s="245" t="str">
        <f t="shared" si="1"/>
        <v>dead</v>
      </c>
      <c r="K25" s="245">
        <f t="shared" si="2"/>
        <v>34</v>
      </c>
      <c r="L25" s="246" t="str">
        <f t="shared" si="3"/>
        <v>+</v>
      </c>
      <c r="M25" s="247">
        <f>Worksheet!M25</f>
        <v>6.5</v>
      </c>
      <c r="N25" s="248" t="str">
        <f t="shared" si="4"/>
        <v>x</v>
      </c>
      <c r="O25" s="249">
        <f t="shared" si="0"/>
        <v>58</v>
      </c>
      <c r="P25" s="250">
        <f>Worksheet!P25</f>
        <v>74</v>
      </c>
      <c r="Q25" s="324">
        <f>Worksheet!Q25</f>
        <v>1.4000000000000001</v>
      </c>
      <c r="R25" s="250">
        <f>Worksheet!R25</f>
        <v>62</v>
      </c>
      <c r="S25" s="325">
        <f>Worksheet!S25</f>
        <v>1.6</v>
      </c>
      <c r="T25" s="113">
        <v>0</v>
      </c>
      <c r="U25" s="244">
        <f t="shared" si="5"/>
        <v>1</v>
      </c>
      <c r="V25" s="221" t="str">
        <f>Worksheet!V25</f>
        <v>SKSCM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Mothers Room</v>
      </c>
      <c r="C26" s="155" t="str">
        <f>Worksheet!C26</f>
        <v>X</v>
      </c>
      <c r="D26" s="112">
        <f>Worksheet!D26</f>
        <v>0</v>
      </c>
      <c r="E26" s="113">
        <f>Worksheet!E26</f>
        <v>1</v>
      </c>
      <c r="F26" s="113" t="str">
        <f>Worksheet!F26</f>
        <v>D</v>
      </c>
      <c r="G26" s="111">
        <f>Worksheet!G26</f>
        <v>34</v>
      </c>
      <c r="H26" s="114">
        <f>Worksheet!H26</f>
        <v>3.5</v>
      </c>
      <c r="I26" s="111">
        <f>Worksheet!I26</f>
        <v>58</v>
      </c>
      <c r="J26" s="245" t="str">
        <f t="shared" si="1"/>
        <v>dead</v>
      </c>
      <c r="K26" s="245">
        <f t="shared" si="2"/>
        <v>34</v>
      </c>
      <c r="L26" s="246" t="str">
        <f t="shared" si="3"/>
        <v>+</v>
      </c>
      <c r="M26" s="247">
        <f>Worksheet!M26</f>
        <v>6.5</v>
      </c>
      <c r="N26" s="248" t="str">
        <f t="shared" si="4"/>
        <v>x</v>
      </c>
      <c r="O26" s="249">
        <f t="shared" si="0"/>
        <v>58</v>
      </c>
      <c r="P26" s="250">
        <f>Worksheet!P26</f>
        <v>74</v>
      </c>
      <c r="Q26" s="324">
        <f>Worksheet!Q26</f>
        <v>1.4000000000000001</v>
      </c>
      <c r="R26" s="250">
        <f>Worksheet!R26</f>
        <v>60</v>
      </c>
      <c r="S26" s="325">
        <f>Worksheet!S26</f>
        <v>1.6</v>
      </c>
      <c r="T26" s="113">
        <v>0</v>
      </c>
      <c r="U26" s="244">
        <f t="shared" si="5"/>
        <v>1</v>
      </c>
      <c r="V26" s="221" t="str">
        <f>Worksheet!V26</f>
        <v>SKSCM</v>
      </c>
      <c r="W26" s="221" t="str">
        <f>Worksheet!W26</f>
        <v>5th Avenue 72</v>
      </c>
      <c r="X26" s="222" t="str">
        <f>Worksheet!X26</f>
        <v xml:space="preserve">Liteless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Bishop #2</v>
      </c>
      <c r="C27" s="155" t="str">
        <f>Worksheet!C27</f>
        <v>X</v>
      </c>
      <c r="D27" s="112">
        <f>Worksheet!D27</f>
        <v>0</v>
      </c>
      <c r="E27" s="113">
        <f>Worksheet!E27</f>
        <v>1</v>
      </c>
      <c r="F27" s="113" t="str">
        <f>Worksheet!F27</f>
        <v>D</v>
      </c>
      <c r="G27" s="111">
        <f>Worksheet!G27</f>
        <v>34</v>
      </c>
      <c r="H27" s="114">
        <f>Worksheet!H27</f>
        <v>3.5</v>
      </c>
      <c r="I27" s="111">
        <f>Worksheet!I27</f>
        <v>57.5</v>
      </c>
      <c r="J27" s="245" t="str">
        <f t="shared" si="1"/>
        <v>dead</v>
      </c>
      <c r="K27" s="245">
        <f t="shared" si="2"/>
        <v>34</v>
      </c>
      <c r="L27" s="246" t="str">
        <f t="shared" si="3"/>
        <v>+</v>
      </c>
      <c r="M27" s="247">
        <f>Worksheet!M27</f>
        <v>6.5</v>
      </c>
      <c r="N27" s="248" t="str">
        <f t="shared" si="4"/>
        <v>x</v>
      </c>
      <c r="O27" s="249">
        <f t="shared" si="0"/>
        <v>57.5</v>
      </c>
      <c r="P27" s="250">
        <f>Worksheet!P27</f>
        <v>74</v>
      </c>
      <c r="Q27" s="324">
        <f>Worksheet!Q27</f>
        <v>1.4000000000000001</v>
      </c>
      <c r="R27" s="250">
        <f>Worksheet!R27</f>
        <v>62</v>
      </c>
      <c r="S27" s="325">
        <f>Worksheet!S27</f>
        <v>1.6</v>
      </c>
      <c r="T27" s="113">
        <v>0</v>
      </c>
      <c r="U27" s="244">
        <f t="shared" si="5"/>
        <v>1</v>
      </c>
      <c r="V27" s="221" t="str">
        <f>Worksheet!V27</f>
        <v>SKSCM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Clerk #2</v>
      </c>
      <c r="C28" s="155" t="str">
        <f>Worksheet!C28</f>
        <v>X</v>
      </c>
      <c r="D28" s="112">
        <f>Worksheet!D28</f>
        <v>0</v>
      </c>
      <c r="E28" s="113">
        <f>Worksheet!E28</f>
        <v>1</v>
      </c>
      <c r="F28" s="113" t="str">
        <f>Worksheet!F28</f>
        <v>D</v>
      </c>
      <c r="G28" s="111">
        <f>Worksheet!G28</f>
        <v>34</v>
      </c>
      <c r="H28" s="114">
        <f>Worksheet!H28</f>
        <v>3.5</v>
      </c>
      <c r="I28" s="111">
        <f>Worksheet!I28</f>
        <v>58</v>
      </c>
      <c r="J28" s="245" t="str">
        <f t="shared" si="1"/>
        <v>dead</v>
      </c>
      <c r="K28" s="245">
        <f t="shared" si="2"/>
        <v>34</v>
      </c>
      <c r="L28" s="246" t="str">
        <f t="shared" si="3"/>
        <v>+</v>
      </c>
      <c r="M28" s="247">
        <f>Worksheet!M28</f>
        <v>6.5</v>
      </c>
      <c r="N28" s="248" t="str">
        <f t="shared" si="4"/>
        <v>x</v>
      </c>
      <c r="O28" s="249">
        <f t="shared" si="0"/>
        <v>58</v>
      </c>
      <c r="P28" s="250">
        <f>Worksheet!P28</f>
        <v>74</v>
      </c>
      <c r="Q28" s="324">
        <f>Worksheet!Q28</f>
        <v>1.4000000000000001</v>
      </c>
      <c r="R28" s="250">
        <f>Worksheet!R28</f>
        <v>62</v>
      </c>
      <c r="S28" s="325">
        <f>Worksheet!S28</f>
        <v>1.6</v>
      </c>
      <c r="T28" s="113">
        <v>0</v>
      </c>
      <c r="U28" s="244">
        <f t="shared" si="5"/>
        <v>1</v>
      </c>
      <c r="V28" s="221" t="str">
        <f>Worksheet!V28</f>
        <v>SKSCM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Clerk #2</v>
      </c>
      <c r="C29" s="155" t="str">
        <f>Worksheet!C29</f>
        <v>X</v>
      </c>
      <c r="D29" s="112">
        <f>Worksheet!D29</f>
        <v>0</v>
      </c>
      <c r="E29" s="113">
        <f>Worksheet!E29</f>
        <v>1</v>
      </c>
      <c r="F29" s="113" t="str">
        <f>Worksheet!F29</f>
        <v>D</v>
      </c>
      <c r="G29" s="111">
        <f>Worksheet!G29</f>
        <v>34</v>
      </c>
      <c r="H29" s="114">
        <f>Worksheet!H29</f>
        <v>3.5</v>
      </c>
      <c r="I29" s="111">
        <f>Worksheet!I29</f>
        <v>58</v>
      </c>
      <c r="J29" s="245" t="str">
        <f t="shared" si="1"/>
        <v>dead</v>
      </c>
      <c r="K29" s="245">
        <f t="shared" si="2"/>
        <v>34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58</v>
      </c>
      <c r="P29" s="250">
        <f>Worksheet!P29</f>
        <v>74</v>
      </c>
      <c r="Q29" s="324">
        <f>Worksheet!Q29</f>
        <v>1.4000000000000001</v>
      </c>
      <c r="R29" s="250">
        <f>Worksheet!R29</f>
        <v>62</v>
      </c>
      <c r="S29" s="325">
        <f>Worksheet!S29</f>
        <v>1.6</v>
      </c>
      <c r="T29" s="113">
        <v>0</v>
      </c>
      <c r="U29" s="244">
        <f t="shared" si="5"/>
        <v>1</v>
      </c>
      <c r="V29" s="221" t="str">
        <f>Worksheet!V29</f>
        <v>SKSCM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Bishop #3</v>
      </c>
      <c r="C30" s="155" t="str">
        <f>Worksheet!C30</f>
        <v>X</v>
      </c>
      <c r="D30" s="112">
        <f>Worksheet!D30</f>
        <v>0</v>
      </c>
      <c r="E30" s="113">
        <f>Worksheet!E30</f>
        <v>1</v>
      </c>
      <c r="F30" s="113" t="str">
        <f>Worksheet!F30</f>
        <v>D</v>
      </c>
      <c r="G30" s="111">
        <f>Worksheet!G30</f>
        <v>34</v>
      </c>
      <c r="H30" s="114">
        <f>Worksheet!H30</f>
        <v>3.5</v>
      </c>
      <c r="I30" s="111">
        <f>Worksheet!I30</f>
        <v>58</v>
      </c>
      <c r="J30" s="326" t="str">
        <f t="shared" si="1"/>
        <v>dead</v>
      </c>
      <c r="K30" s="326">
        <f t="shared" si="2"/>
        <v>34</v>
      </c>
      <c r="L30" s="327" t="str">
        <f t="shared" si="3"/>
        <v>+</v>
      </c>
      <c r="M30" s="247">
        <f>Worksheet!M30</f>
        <v>6.5</v>
      </c>
      <c r="N30" s="328" t="str">
        <f t="shared" si="4"/>
        <v>x</v>
      </c>
      <c r="O30" s="329">
        <f t="shared" si="0"/>
        <v>58</v>
      </c>
      <c r="P30" s="250">
        <f>Worksheet!P30</f>
        <v>74</v>
      </c>
      <c r="Q30" s="324">
        <f>Worksheet!Q30</f>
        <v>1.4000000000000001</v>
      </c>
      <c r="R30" s="250">
        <f>Worksheet!R30</f>
        <v>62</v>
      </c>
      <c r="S30" s="325">
        <f>Worksheet!S30</f>
        <v>1.6</v>
      </c>
      <c r="T30" s="113">
        <v>0</v>
      </c>
      <c r="U30" s="244">
        <f t="shared" si="5"/>
        <v>1</v>
      </c>
      <c r="V30" s="221" t="str">
        <f>Worksheet!V30</f>
        <v>SKSCM</v>
      </c>
      <c r="W30" s="221" t="str">
        <f>Worksheet!W30</f>
        <v>5th Avenue 72</v>
      </c>
      <c r="X30" s="222" t="str">
        <f>Worksheet!X30</f>
        <v xml:space="preserve">Flameguard 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2551</v>
      </c>
      <c r="Z32" s="342">
        <f>Worksheet!Z32</f>
        <v>60</v>
      </c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2552</v>
      </c>
      <c r="Z33" s="342">
        <f>Worksheet!Z33</f>
        <v>75.249999999999986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10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4" t="s">
        <v>2562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0" t="s">
        <v>2532</v>
      </c>
      <c r="Q4" s="420"/>
      <c r="R4" s="417">
        <f>Worksheet!R4</f>
        <v>45823</v>
      </c>
      <c r="S4" s="417"/>
      <c r="T4" s="417"/>
      <c r="U4" s="171"/>
      <c r="V4" s="69" t="s">
        <v>4</v>
      </c>
      <c r="W4" s="456" t="str">
        <f>Worksheet!W4</f>
        <v>Gregory Mill WO#C5364027-00086.01</v>
      </c>
      <c r="X4" s="456"/>
      <c r="Y4" s="207" t="s">
        <v>2297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7" t="s">
        <v>2558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31" t="str">
        <f>Worksheet!W5</f>
        <v>316 Mayfield Dr</v>
      </c>
      <c r="X5" s="431"/>
      <c r="Y5" s="431"/>
      <c r="Z5" s="66"/>
    </row>
    <row r="6" spans="1:26" s="53" customFormat="1" ht="15.95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57">
        <f>Worksheet!AR1</f>
        <v>33517</v>
      </c>
      <c r="R6" s="458"/>
      <c r="S6" s="57"/>
      <c r="T6" s="171"/>
      <c r="U6" s="75"/>
      <c r="V6" s="66"/>
      <c r="W6" s="431" t="str">
        <f>Worksheet!W6</f>
        <v>Smyrna, TN 37167</v>
      </c>
      <c r="X6" s="431"/>
      <c r="Y6" s="431"/>
      <c r="Z6" s="66"/>
    </row>
    <row r="7" spans="1:26" s="53" customFormat="1" ht="15.75" customHeight="1" thickBot="1">
      <c r="A7" s="198"/>
      <c r="B7" s="64"/>
      <c r="C7" s="66"/>
      <c r="D7" s="337" t="s">
        <v>2564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2563</v>
      </c>
      <c r="Q7" s="459"/>
      <c r="R7" s="460"/>
      <c r="S7" s="57"/>
      <c r="T7" s="57"/>
      <c r="U7" s="75"/>
      <c r="V7" s="66" t="s">
        <v>108</v>
      </c>
      <c r="W7" s="338">
        <f>Worksheet!D6</f>
        <v>0</v>
      </c>
      <c r="X7" s="163">
        <f>Worksheet!J6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 t="str">
        <f>Worksheet!W7</f>
        <v>Key Box#6051 Back Door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Primary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34</v>
      </c>
      <c r="H11" s="114">
        <f>Worksheet!H11</f>
        <v>3.5</v>
      </c>
      <c r="I11" s="111">
        <f>Worksheet!I11</f>
        <v>57.5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34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57.5</v>
      </c>
      <c r="P11" s="250">
        <f>Worksheet!P11</f>
        <v>74</v>
      </c>
      <c r="Q11" s="324">
        <f>Worksheet!Q11</f>
        <v>1.4000000000000001</v>
      </c>
      <c r="R11" s="250">
        <f>Worksheet!R11</f>
        <v>62</v>
      </c>
      <c r="S11" s="325">
        <f>Worksheet!S11</f>
        <v>1.6</v>
      </c>
      <c r="T11" s="113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Primary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34</v>
      </c>
      <c r="H12" s="114">
        <f>Worksheet!H12</f>
        <v>3.5</v>
      </c>
      <c r="I12" s="111">
        <f>Worksheet!I12</f>
        <v>57.5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34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57.5</v>
      </c>
      <c r="P12" s="250">
        <f>Worksheet!P12</f>
        <v>74</v>
      </c>
      <c r="Q12" s="324">
        <f>Worksheet!Q12</f>
        <v>1.4000000000000001</v>
      </c>
      <c r="R12" s="250">
        <f>Worksheet!R12</f>
        <v>62</v>
      </c>
      <c r="S12" s="325">
        <f>Worksheet!S12</f>
        <v>1.6</v>
      </c>
      <c r="T12" s="113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Primary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34</v>
      </c>
      <c r="H13" s="114">
        <f>Worksheet!H13</f>
        <v>3.5</v>
      </c>
      <c r="I13" s="111">
        <f>Worksheet!I13</f>
        <v>57.5</v>
      </c>
      <c r="J13" s="245" t="str">
        <f t="shared" si="1"/>
        <v>dead</v>
      </c>
      <c r="K13" s="245">
        <f t="shared" si="2"/>
        <v>34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57.5</v>
      </c>
      <c r="P13" s="250">
        <f>Worksheet!P13</f>
        <v>74</v>
      </c>
      <c r="Q13" s="324">
        <f>Worksheet!Q13</f>
        <v>1.4000000000000001</v>
      </c>
      <c r="R13" s="250">
        <f>Worksheet!R13</f>
        <v>62</v>
      </c>
      <c r="S13" s="325">
        <f>Worksheet!S13</f>
        <v>1.6</v>
      </c>
      <c r="T13" s="113"/>
      <c r="U13" s="244">
        <f t="shared" si="5"/>
        <v>1</v>
      </c>
      <c r="V13" s="221" t="str">
        <f>Worksheet!V13</f>
        <v>SKSCM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Primary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34</v>
      </c>
      <c r="H14" s="114">
        <f>Worksheet!H14</f>
        <v>3.5</v>
      </c>
      <c r="I14" s="111">
        <f>Worksheet!I14</f>
        <v>57.5</v>
      </c>
      <c r="J14" s="245" t="str">
        <f t="shared" si="1"/>
        <v>dead</v>
      </c>
      <c r="K14" s="245">
        <f t="shared" si="2"/>
        <v>34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57.5</v>
      </c>
      <c r="P14" s="250">
        <f>Worksheet!P14</f>
        <v>74</v>
      </c>
      <c r="Q14" s="324">
        <f>Worksheet!Q14</f>
        <v>1.4000000000000001</v>
      </c>
      <c r="R14" s="250">
        <f>Worksheet!R14</f>
        <v>62</v>
      </c>
      <c r="S14" s="325">
        <f>Worksheet!S14</f>
        <v>1.6</v>
      </c>
      <c r="T14" s="113">
        <v>0</v>
      </c>
      <c r="U14" s="244">
        <f t="shared" si="5"/>
        <v>1</v>
      </c>
      <c r="V14" s="221" t="str">
        <f>Worksheet!V14</f>
        <v>SKSCM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RS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34</v>
      </c>
      <c r="H15" s="114">
        <f>Worksheet!H15</f>
        <v>3.5</v>
      </c>
      <c r="I15" s="111">
        <f>Worksheet!I15</f>
        <v>57.5</v>
      </c>
      <c r="J15" s="245" t="str">
        <f t="shared" si="1"/>
        <v>dead</v>
      </c>
      <c r="K15" s="245">
        <f t="shared" si="2"/>
        <v>34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57.5</v>
      </c>
      <c r="P15" s="250">
        <f>Worksheet!P15</f>
        <v>74</v>
      </c>
      <c r="Q15" s="324">
        <f>Worksheet!Q15</f>
        <v>1.4000000000000001</v>
      </c>
      <c r="R15" s="250">
        <f>Worksheet!R15</f>
        <v>62</v>
      </c>
      <c r="S15" s="325">
        <f>Worksheet!S15</f>
        <v>1.6</v>
      </c>
      <c r="T15" s="113">
        <v>0</v>
      </c>
      <c r="U15" s="244">
        <f t="shared" si="5"/>
        <v>1</v>
      </c>
      <c r="V15" s="221" t="str">
        <f>Worksheet!V15</f>
        <v>SKSCM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RS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34</v>
      </c>
      <c r="H16" s="114">
        <f>Worksheet!H16</f>
        <v>3.5</v>
      </c>
      <c r="I16" s="111">
        <f>Worksheet!I16</f>
        <v>57.5</v>
      </c>
      <c r="J16" s="245" t="str">
        <f t="shared" si="1"/>
        <v>dead</v>
      </c>
      <c r="K16" s="245">
        <f t="shared" si="2"/>
        <v>34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57.5</v>
      </c>
      <c r="P16" s="250">
        <f>Worksheet!P16</f>
        <v>74</v>
      </c>
      <c r="Q16" s="324">
        <f>Worksheet!Q16</f>
        <v>1.4000000000000001</v>
      </c>
      <c r="R16" s="250">
        <f>Worksheet!R16</f>
        <v>62</v>
      </c>
      <c r="S16" s="325">
        <f>Worksheet!S16</f>
        <v>1.6</v>
      </c>
      <c r="T16" s="113">
        <v>0</v>
      </c>
      <c r="U16" s="244">
        <f t="shared" si="5"/>
        <v>1</v>
      </c>
      <c r="V16" s="221" t="str">
        <f>Worksheet!V16</f>
        <v>SKSCM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RS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34</v>
      </c>
      <c r="H17" s="114">
        <f>Worksheet!H17</f>
        <v>3.5</v>
      </c>
      <c r="I17" s="111">
        <f>Worksheet!I17</f>
        <v>57.5</v>
      </c>
      <c r="J17" s="245" t="str">
        <f t="shared" si="1"/>
        <v>dead</v>
      </c>
      <c r="K17" s="245">
        <f t="shared" si="2"/>
        <v>34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57.5</v>
      </c>
      <c r="P17" s="250">
        <f>Worksheet!P17</f>
        <v>74</v>
      </c>
      <c r="Q17" s="324">
        <f>Worksheet!Q17</f>
        <v>1.4000000000000001</v>
      </c>
      <c r="R17" s="250">
        <f>Worksheet!R17</f>
        <v>62</v>
      </c>
      <c r="S17" s="325">
        <f>Worksheet!S17</f>
        <v>1.6</v>
      </c>
      <c r="T17" s="113">
        <v>0</v>
      </c>
      <c r="U17" s="244">
        <f t="shared" si="5"/>
        <v>1</v>
      </c>
      <c r="V17" s="221" t="str">
        <f>Worksheet!V17</f>
        <v>SKSCM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RS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34</v>
      </c>
      <c r="H18" s="114">
        <f>Worksheet!H18</f>
        <v>3.5</v>
      </c>
      <c r="I18" s="111">
        <f>Worksheet!I18</f>
        <v>57.5</v>
      </c>
      <c r="J18" s="245" t="str">
        <f t="shared" si="1"/>
        <v>dead</v>
      </c>
      <c r="K18" s="245">
        <f t="shared" si="2"/>
        <v>34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57.5</v>
      </c>
      <c r="P18" s="250">
        <f>Worksheet!P18</f>
        <v>74</v>
      </c>
      <c r="Q18" s="324">
        <f>Worksheet!Q18</f>
        <v>1.4000000000000001</v>
      </c>
      <c r="R18" s="250">
        <f>Worksheet!R18</f>
        <v>62</v>
      </c>
      <c r="S18" s="325">
        <f>Worksheet!S18</f>
        <v>1.6</v>
      </c>
      <c r="T18" s="113">
        <v>0</v>
      </c>
      <c r="U18" s="244">
        <f t="shared" si="5"/>
        <v>1</v>
      </c>
      <c r="V18" s="221" t="str">
        <f>Worksheet!V18</f>
        <v>SKSCM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FHC</v>
      </c>
      <c r="C19" s="155" t="str">
        <f>Worksheet!C19</f>
        <v>X</v>
      </c>
      <c r="D19" s="112">
        <f>Worksheet!D19</f>
        <v>0</v>
      </c>
      <c r="E19" s="113">
        <f>Worksheet!E19</f>
        <v>1</v>
      </c>
      <c r="F19" s="113" t="str">
        <f>Worksheet!F19</f>
        <v>D</v>
      </c>
      <c r="G19" s="111">
        <f>Worksheet!G19</f>
        <v>34</v>
      </c>
      <c r="H19" s="114">
        <f>Worksheet!H19</f>
        <v>3.5</v>
      </c>
      <c r="I19" s="111">
        <f>Worksheet!I19</f>
        <v>58</v>
      </c>
      <c r="J19" s="245" t="str">
        <f t="shared" si="1"/>
        <v>dead</v>
      </c>
      <c r="K19" s="245">
        <f>+G19</f>
        <v>34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58</v>
      </c>
      <c r="P19" s="250">
        <f>Worksheet!P19</f>
        <v>74</v>
      </c>
      <c r="Q19" s="324">
        <f>Worksheet!Q19</f>
        <v>1.4000000000000001</v>
      </c>
      <c r="R19" s="250">
        <f>Worksheet!R19</f>
        <v>60</v>
      </c>
      <c r="S19" s="325">
        <f>Worksheet!S19</f>
        <v>1.6</v>
      </c>
      <c r="T19" s="113">
        <v>0</v>
      </c>
      <c r="U19" s="244">
        <f t="shared" si="5"/>
        <v>1</v>
      </c>
      <c r="V19" s="221" t="str">
        <f>Worksheet!V19</f>
        <v>SKSCM</v>
      </c>
      <c r="W19" s="221" t="str">
        <f>Worksheet!W19</f>
        <v>5th Avenue 72</v>
      </c>
      <c r="X19" s="222" t="str">
        <f>Worksheet!X19</f>
        <v xml:space="preserve">Liteless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Clerk #1</v>
      </c>
      <c r="C20" s="155" t="str">
        <f>Worksheet!C20</f>
        <v>X</v>
      </c>
      <c r="D20" s="112">
        <f>Worksheet!D20</f>
        <v>0</v>
      </c>
      <c r="E20" s="113">
        <f>Worksheet!E20</f>
        <v>1</v>
      </c>
      <c r="F20" s="113" t="str">
        <f>Worksheet!F20</f>
        <v>D</v>
      </c>
      <c r="G20" s="111">
        <f>Worksheet!G20</f>
        <v>34</v>
      </c>
      <c r="H20" s="114">
        <f>Worksheet!H20</f>
        <v>3.5</v>
      </c>
      <c r="I20" s="111">
        <f>Worksheet!I20</f>
        <v>57.5</v>
      </c>
      <c r="J20" s="245" t="str">
        <f t="shared" si="1"/>
        <v>dead</v>
      </c>
      <c r="K20" s="245">
        <f>+G20</f>
        <v>34</v>
      </c>
      <c r="L20" s="246" t="str">
        <f>IF(F20&gt;"r",0,IF(G20&gt;0,"+",0))</f>
        <v>+</v>
      </c>
      <c r="M20" s="247">
        <f>Worksheet!M20</f>
        <v>6.5</v>
      </c>
      <c r="N20" s="248" t="str">
        <f>IF(G20&gt;0,"x",0)</f>
        <v>x</v>
      </c>
      <c r="O20" s="249">
        <f>+I20</f>
        <v>57.5</v>
      </c>
      <c r="P20" s="250">
        <f>Worksheet!P20</f>
        <v>74</v>
      </c>
      <c r="Q20" s="324">
        <f>Worksheet!Q20</f>
        <v>1.4000000000000001</v>
      </c>
      <c r="R20" s="250">
        <f>Worksheet!R20</f>
        <v>62</v>
      </c>
      <c r="S20" s="325">
        <f>Worksheet!S20</f>
        <v>1.6</v>
      </c>
      <c r="T20" s="113">
        <v>0</v>
      </c>
      <c r="U20" s="244">
        <f>+D20+E20</f>
        <v>1</v>
      </c>
      <c r="V20" s="221" t="str">
        <f>Worksheet!V20</f>
        <v>SKSCM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Bishop #1</v>
      </c>
      <c r="C21" s="155" t="str">
        <f>Worksheet!C21</f>
        <v>X</v>
      </c>
      <c r="D21" s="112">
        <f>Worksheet!D21</f>
        <v>0</v>
      </c>
      <c r="E21" s="113">
        <f>Worksheet!E21</f>
        <v>1</v>
      </c>
      <c r="F21" s="113" t="str">
        <f>Worksheet!F21</f>
        <v>D</v>
      </c>
      <c r="G21" s="111">
        <f>Worksheet!G21</f>
        <v>34</v>
      </c>
      <c r="H21" s="114">
        <f>Worksheet!H21</f>
        <v>3.5</v>
      </c>
      <c r="I21" s="111">
        <f>Worksheet!I21</f>
        <v>57.5</v>
      </c>
      <c r="J21" s="245" t="str">
        <f t="shared" si="1"/>
        <v>dead</v>
      </c>
      <c r="K21" s="245">
        <f t="shared" si="2"/>
        <v>34</v>
      </c>
      <c r="L21" s="246" t="str">
        <f t="shared" si="3"/>
        <v>+</v>
      </c>
      <c r="M21" s="247">
        <f>Worksheet!M21</f>
        <v>6.5</v>
      </c>
      <c r="N21" s="248" t="str">
        <f t="shared" si="4"/>
        <v>x</v>
      </c>
      <c r="O21" s="249">
        <f t="shared" si="0"/>
        <v>57.5</v>
      </c>
      <c r="P21" s="250">
        <f>Worksheet!P21</f>
        <v>74</v>
      </c>
      <c r="Q21" s="324">
        <f>Worksheet!Q21</f>
        <v>1.4000000000000001</v>
      </c>
      <c r="R21" s="250">
        <f>Worksheet!R21</f>
        <v>62</v>
      </c>
      <c r="S21" s="325">
        <f>Worksheet!S21</f>
        <v>1.6</v>
      </c>
      <c r="T21" s="113">
        <v>0</v>
      </c>
      <c r="U21" s="244">
        <f t="shared" si="5"/>
        <v>1</v>
      </c>
      <c r="V21" s="221" t="str">
        <f>Worksheet!V21</f>
        <v>SKSCM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YW</v>
      </c>
      <c r="C22" s="155" t="str">
        <f>Worksheet!C22</f>
        <v>X</v>
      </c>
      <c r="D22" s="112">
        <f>Worksheet!D22</f>
        <v>0</v>
      </c>
      <c r="E22" s="113">
        <f>Worksheet!E22</f>
        <v>1</v>
      </c>
      <c r="F22" s="113" t="str">
        <f>Worksheet!F22</f>
        <v>D</v>
      </c>
      <c r="G22" s="111">
        <f>Worksheet!G22</f>
        <v>34</v>
      </c>
      <c r="H22" s="114">
        <f>Worksheet!H22</f>
        <v>3.5</v>
      </c>
      <c r="I22" s="111">
        <f>Worksheet!I22</f>
        <v>58</v>
      </c>
      <c r="J22" s="245" t="str">
        <f t="shared" si="1"/>
        <v>dead</v>
      </c>
      <c r="K22" s="245">
        <f t="shared" si="2"/>
        <v>34</v>
      </c>
      <c r="L22" s="246" t="str">
        <f t="shared" si="3"/>
        <v>+</v>
      </c>
      <c r="M22" s="247">
        <f>Worksheet!M22</f>
        <v>6.5</v>
      </c>
      <c r="N22" s="248" t="str">
        <f t="shared" si="4"/>
        <v>x</v>
      </c>
      <c r="O22" s="249">
        <f t="shared" si="0"/>
        <v>58</v>
      </c>
      <c r="P22" s="250">
        <f>Worksheet!P22</f>
        <v>74</v>
      </c>
      <c r="Q22" s="324">
        <f>Worksheet!Q22</f>
        <v>1.4000000000000001</v>
      </c>
      <c r="R22" s="250">
        <f>Worksheet!R22</f>
        <v>62</v>
      </c>
      <c r="S22" s="325">
        <f>Worksheet!S22</f>
        <v>1.6</v>
      </c>
      <c r="T22" s="113">
        <v>0</v>
      </c>
      <c r="U22" s="244">
        <f t="shared" si="5"/>
        <v>1</v>
      </c>
      <c r="V22" s="221" t="str">
        <f>Worksheet!V22</f>
        <v>SKSCM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YW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D</v>
      </c>
      <c r="G23" s="111">
        <f>Worksheet!G23</f>
        <v>34</v>
      </c>
      <c r="H23" s="114">
        <f>Worksheet!H23</f>
        <v>3.5</v>
      </c>
      <c r="I23" s="111">
        <f>Worksheet!I23</f>
        <v>58</v>
      </c>
      <c r="J23" s="245" t="str">
        <f t="shared" si="1"/>
        <v>dead</v>
      </c>
      <c r="K23" s="245">
        <f t="shared" si="2"/>
        <v>34</v>
      </c>
      <c r="L23" s="246" t="str">
        <f t="shared" si="3"/>
        <v>+</v>
      </c>
      <c r="M23" s="247">
        <f>Worksheet!M23</f>
        <v>6.5</v>
      </c>
      <c r="N23" s="248" t="str">
        <f t="shared" si="4"/>
        <v>x</v>
      </c>
      <c r="O23" s="249">
        <f t="shared" si="0"/>
        <v>58</v>
      </c>
      <c r="P23" s="250">
        <f>Worksheet!P23</f>
        <v>74</v>
      </c>
      <c r="Q23" s="324">
        <f>Worksheet!Q23</f>
        <v>1.4000000000000001</v>
      </c>
      <c r="R23" s="250">
        <f>Worksheet!R23</f>
        <v>62</v>
      </c>
      <c r="S23" s="325">
        <f>Worksheet!S23</f>
        <v>1.6</v>
      </c>
      <c r="T23" s="113">
        <v>0</v>
      </c>
      <c r="U23" s="244">
        <f t="shared" si="5"/>
        <v>1</v>
      </c>
      <c r="V23" s="221" t="str">
        <f>Worksheet!V23</f>
        <v>SKSCM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YW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D</v>
      </c>
      <c r="G24" s="111">
        <f>Worksheet!G24</f>
        <v>34</v>
      </c>
      <c r="H24" s="114">
        <f>Worksheet!H24</f>
        <v>3.5</v>
      </c>
      <c r="I24" s="111">
        <f>Worksheet!I24</f>
        <v>58</v>
      </c>
      <c r="J24" s="245" t="str">
        <f t="shared" si="1"/>
        <v>dead</v>
      </c>
      <c r="K24" s="245">
        <f t="shared" si="2"/>
        <v>34</v>
      </c>
      <c r="L24" s="246" t="str">
        <f t="shared" si="3"/>
        <v>+</v>
      </c>
      <c r="M24" s="247">
        <f>Worksheet!M24</f>
        <v>6.5</v>
      </c>
      <c r="N24" s="248" t="str">
        <f t="shared" si="4"/>
        <v>x</v>
      </c>
      <c r="O24" s="249">
        <f t="shared" si="0"/>
        <v>58</v>
      </c>
      <c r="P24" s="250">
        <f>Worksheet!P24</f>
        <v>74</v>
      </c>
      <c r="Q24" s="324">
        <f>Worksheet!Q24</f>
        <v>1.4000000000000001</v>
      </c>
      <c r="R24" s="250">
        <f>Worksheet!R24</f>
        <v>62</v>
      </c>
      <c r="S24" s="325">
        <f>Worksheet!S24</f>
        <v>1.6</v>
      </c>
      <c r="T24" s="113">
        <v>0</v>
      </c>
      <c r="U24" s="244">
        <f t="shared" si="5"/>
        <v>1</v>
      </c>
      <c r="V24" s="221" t="str">
        <f>Worksheet!V24</f>
        <v>SKSCM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YW</v>
      </c>
      <c r="C25" s="155" t="str">
        <f>Worksheet!C25</f>
        <v>X</v>
      </c>
      <c r="D25" s="112">
        <f>Worksheet!D25</f>
        <v>0</v>
      </c>
      <c r="E25" s="113">
        <f>Worksheet!E25</f>
        <v>1</v>
      </c>
      <c r="F25" s="113" t="str">
        <f>Worksheet!F25</f>
        <v>D</v>
      </c>
      <c r="G25" s="111">
        <f>Worksheet!G25</f>
        <v>34</v>
      </c>
      <c r="H25" s="114">
        <f>Worksheet!H25</f>
        <v>3.5</v>
      </c>
      <c r="I25" s="111">
        <f>Worksheet!I25</f>
        <v>58</v>
      </c>
      <c r="J25" s="245" t="str">
        <f t="shared" si="1"/>
        <v>dead</v>
      </c>
      <c r="K25" s="245">
        <f t="shared" si="2"/>
        <v>34</v>
      </c>
      <c r="L25" s="246" t="str">
        <f t="shared" si="3"/>
        <v>+</v>
      </c>
      <c r="M25" s="247">
        <f>Worksheet!M25</f>
        <v>6.5</v>
      </c>
      <c r="N25" s="248" t="str">
        <f t="shared" si="4"/>
        <v>x</v>
      </c>
      <c r="O25" s="249">
        <f t="shared" si="0"/>
        <v>58</v>
      </c>
      <c r="P25" s="250">
        <f>Worksheet!P25</f>
        <v>74</v>
      </c>
      <c r="Q25" s="324">
        <f>Worksheet!Q25</f>
        <v>1.4000000000000001</v>
      </c>
      <c r="R25" s="250">
        <f>Worksheet!R25</f>
        <v>62</v>
      </c>
      <c r="S25" s="325">
        <f>Worksheet!S25</f>
        <v>1.6</v>
      </c>
      <c r="T25" s="113">
        <v>0</v>
      </c>
      <c r="U25" s="244">
        <f t="shared" si="5"/>
        <v>1</v>
      </c>
      <c r="V25" s="221" t="str">
        <f>Worksheet!V25</f>
        <v>SKSCM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Mothers Room</v>
      </c>
      <c r="C26" s="155" t="str">
        <f>Worksheet!C26</f>
        <v>X</v>
      </c>
      <c r="D26" s="112">
        <f>Worksheet!D26</f>
        <v>0</v>
      </c>
      <c r="E26" s="113">
        <f>Worksheet!E26</f>
        <v>1</v>
      </c>
      <c r="F26" s="113" t="str">
        <f>Worksheet!F26</f>
        <v>D</v>
      </c>
      <c r="G26" s="111">
        <f>Worksheet!G26</f>
        <v>34</v>
      </c>
      <c r="H26" s="114">
        <f>Worksheet!H26</f>
        <v>3.5</v>
      </c>
      <c r="I26" s="111">
        <f>Worksheet!I26</f>
        <v>58</v>
      </c>
      <c r="J26" s="245" t="str">
        <f t="shared" si="1"/>
        <v>dead</v>
      </c>
      <c r="K26" s="245">
        <f t="shared" si="2"/>
        <v>34</v>
      </c>
      <c r="L26" s="246" t="str">
        <f t="shared" si="3"/>
        <v>+</v>
      </c>
      <c r="M26" s="247">
        <f>Worksheet!M26</f>
        <v>6.5</v>
      </c>
      <c r="N26" s="248" t="str">
        <f t="shared" si="4"/>
        <v>x</v>
      </c>
      <c r="O26" s="249">
        <f t="shared" si="0"/>
        <v>58</v>
      </c>
      <c r="P26" s="250">
        <f>Worksheet!P26</f>
        <v>74</v>
      </c>
      <c r="Q26" s="324">
        <f>Worksheet!Q26</f>
        <v>1.4000000000000001</v>
      </c>
      <c r="R26" s="250">
        <f>Worksheet!R26</f>
        <v>60</v>
      </c>
      <c r="S26" s="325">
        <f>Worksheet!S26</f>
        <v>1.6</v>
      </c>
      <c r="T26" s="113">
        <v>0</v>
      </c>
      <c r="U26" s="244">
        <f t="shared" si="5"/>
        <v>1</v>
      </c>
      <c r="V26" s="221" t="str">
        <f>Worksheet!V26</f>
        <v>SKSCM</v>
      </c>
      <c r="W26" s="221" t="str">
        <f>Worksheet!W26</f>
        <v>5th Avenue 72</v>
      </c>
      <c r="X26" s="222" t="str">
        <f>Worksheet!X26</f>
        <v xml:space="preserve">Liteless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Bishop #2</v>
      </c>
      <c r="C27" s="155" t="str">
        <f>Worksheet!C27</f>
        <v>X</v>
      </c>
      <c r="D27" s="112">
        <f>Worksheet!D27</f>
        <v>0</v>
      </c>
      <c r="E27" s="113">
        <f>Worksheet!E27</f>
        <v>1</v>
      </c>
      <c r="F27" s="113" t="str">
        <f>Worksheet!F27</f>
        <v>D</v>
      </c>
      <c r="G27" s="111">
        <f>Worksheet!G27</f>
        <v>34</v>
      </c>
      <c r="H27" s="114">
        <f>Worksheet!H27</f>
        <v>3.5</v>
      </c>
      <c r="I27" s="111">
        <f>Worksheet!I27</f>
        <v>57.5</v>
      </c>
      <c r="J27" s="245" t="str">
        <f t="shared" si="1"/>
        <v>dead</v>
      </c>
      <c r="K27" s="245">
        <f t="shared" si="2"/>
        <v>34</v>
      </c>
      <c r="L27" s="246" t="str">
        <f t="shared" si="3"/>
        <v>+</v>
      </c>
      <c r="M27" s="247">
        <f>Worksheet!M27</f>
        <v>6.5</v>
      </c>
      <c r="N27" s="248" t="str">
        <f t="shared" si="4"/>
        <v>x</v>
      </c>
      <c r="O27" s="249">
        <f t="shared" si="0"/>
        <v>57.5</v>
      </c>
      <c r="P27" s="250">
        <f>Worksheet!P27</f>
        <v>74</v>
      </c>
      <c r="Q27" s="324">
        <f>Worksheet!Q27</f>
        <v>1.4000000000000001</v>
      </c>
      <c r="R27" s="250">
        <f>Worksheet!R27</f>
        <v>62</v>
      </c>
      <c r="S27" s="325">
        <f>Worksheet!S27</f>
        <v>1.6</v>
      </c>
      <c r="T27" s="113">
        <v>0</v>
      </c>
      <c r="U27" s="244">
        <f t="shared" si="5"/>
        <v>1</v>
      </c>
      <c r="V27" s="221" t="str">
        <f>Worksheet!V27</f>
        <v>SKSCM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Clerk #2</v>
      </c>
      <c r="C28" s="155" t="str">
        <f>Worksheet!C28</f>
        <v>X</v>
      </c>
      <c r="D28" s="112">
        <f>Worksheet!D28</f>
        <v>0</v>
      </c>
      <c r="E28" s="113">
        <f>Worksheet!E28</f>
        <v>1</v>
      </c>
      <c r="F28" s="113" t="str">
        <f>Worksheet!F28</f>
        <v>D</v>
      </c>
      <c r="G28" s="111">
        <f>Worksheet!G28</f>
        <v>34</v>
      </c>
      <c r="H28" s="114">
        <f>Worksheet!H28</f>
        <v>3.5</v>
      </c>
      <c r="I28" s="111">
        <f>Worksheet!I28</f>
        <v>58</v>
      </c>
      <c r="J28" s="245" t="str">
        <f t="shared" si="1"/>
        <v>dead</v>
      </c>
      <c r="K28" s="245">
        <f t="shared" si="2"/>
        <v>34</v>
      </c>
      <c r="L28" s="246" t="str">
        <f t="shared" si="3"/>
        <v>+</v>
      </c>
      <c r="M28" s="247">
        <f>Worksheet!M28</f>
        <v>6.5</v>
      </c>
      <c r="N28" s="248" t="str">
        <f t="shared" si="4"/>
        <v>x</v>
      </c>
      <c r="O28" s="249">
        <f t="shared" si="0"/>
        <v>58</v>
      </c>
      <c r="P28" s="250">
        <f>Worksheet!P28</f>
        <v>74</v>
      </c>
      <c r="Q28" s="324">
        <f>Worksheet!Q28</f>
        <v>1.4000000000000001</v>
      </c>
      <c r="R28" s="250">
        <f>Worksheet!R28</f>
        <v>62</v>
      </c>
      <c r="S28" s="325">
        <f>Worksheet!S28</f>
        <v>1.6</v>
      </c>
      <c r="T28" s="113">
        <v>0</v>
      </c>
      <c r="U28" s="244">
        <f t="shared" si="5"/>
        <v>1</v>
      </c>
      <c r="V28" s="221" t="str">
        <f>Worksheet!V28</f>
        <v>SKSCM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Clerk #2</v>
      </c>
      <c r="C29" s="155" t="str">
        <f>Worksheet!C29</f>
        <v>X</v>
      </c>
      <c r="D29" s="112">
        <f>Worksheet!D29</f>
        <v>0</v>
      </c>
      <c r="E29" s="113">
        <f>Worksheet!E29</f>
        <v>1</v>
      </c>
      <c r="F29" s="113" t="str">
        <f>Worksheet!F29</f>
        <v>D</v>
      </c>
      <c r="G29" s="111">
        <f>Worksheet!G29</f>
        <v>34</v>
      </c>
      <c r="H29" s="114">
        <f>Worksheet!H29</f>
        <v>3.5</v>
      </c>
      <c r="I29" s="111">
        <f>Worksheet!I29</f>
        <v>58</v>
      </c>
      <c r="J29" s="245" t="str">
        <f t="shared" si="1"/>
        <v>dead</v>
      </c>
      <c r="K29" s="245">
        <f t="shared" si="2"/>
        <v>34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58</v>
      </c>
      <c r="P29" s="250">
        <f>Worksheet!P29</f>
        <v>74</v>
      </c>
      <c r="Q29" s="324">
        <f>Worksheet!Q29</f>
        <v>1.4000000000000001</v>
      </c>
      <c r="R29" s="250">
        <f>Worksheet!R29</f>
        <v>62</v>
      </c>
      <c r="S29" s="325">
        <f>Worksheet!S29</f>
        <v>1.6</v>
      </c>
      <c r="T29" s="113">
        <v>0</v>
      </c>
      <c r="U29" s="244">
        <f t="shared" si="5"/>
        <v>1</v>
      </c>
      <c r="V29" s="221" t="str">
        <f>Worksheet!V29</f>
        <v>SKSCM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Bishop #3</v>
      </c>
      <c r="C30" s="155" t="str">
        <f>Worksheet!C30</f>
        <v>X</v>
      </c>
      <c r="D30" s="112">
        <f>Worksheet!D30</f>
        <v>0</v>
      </c>
      <c r="E30" s="113">
        <f>Worksheet!E30</f>
        <v>1</v>
      </c>
      <c r="F30" s="113" t="str">
        <f>Worksheet!F30</f>
        <v>D</v>
      </c>
      <c r="G30" s="111">
        <f>Worksheet!G30</f>
        <v>34</v>
      </c>
      <c r="H30" s="114">
        <f>Worksheet!H30</f>
        <v>3.5</v>
      </c>
      <c r="I30" s="111">
        <f>Worksheet!I30</f>
        <v>58</v>
      </c>
      <c r="J30" s="326" t="str">
        <f t="shared" si="1"/>
        <v>dead</v>
      </c>
      <c r="K30" s="326">
        <f t="shared" si="2"/>
        <v>34</v>
      </c>
      <c r="L30" s="327" t="str">
        <f t="shared" si="3"/>
        <v>+</v>
      </c>
      <c r="M30" s="247">
        <f>Worksheet!M30</f>
        <v>6.5</v>
      </c>
      <c r="N30" s="328" t="str">
        <f t="shared" si="4"/>
        <v>x</v>
      </c>
      <c r="O30" s="329">
        <f t="shared" si="0"/>
        <v>58</v>
      </c>
      <c r="P30" s="250">
        <f>Worksheet!P30</f>
        <v>74</v>
      </c>
      <c r="Q30" s="324">
        <f>Worksheet!Q30</f>
        <v>1.4000000000000001</v>
      </c>
      <c r="R30" s="250">
        <f>Worksheet!R30</f>
        <v>62</v>
      </c>
      <c r="S30" s="325">
        <f>Worksheet!S30</f>
        <v>1.6</v>
      </c>
      <c r="T30" s="113">
        <v>0</v>
      </c>
      <c r="U30" s="244">
        <f t="shared" si="5"/>
        <v>1</v>
      </c>
      <c r="V30" s="221" t="str">
        <f>Worksheet!V30</f>
        <v>SKSCM</v>
      </c>
      <c r="W30" s="221" t="str">
        <f>Worksheet!W30</f>
        <v>5th Avenue 72</v>
      </c>
      <c r="X30" s="222" t="str">
        <f>Worksheet!X30</f>
        <v xml:space="preserve">Flameguard 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5" customHeight="1">
      <c r="A33" s="198"/>
      <c r="B33" s="131" t="s">
        <v>69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Y6" sqref="Y6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1" t="s">
        <v>2568</v>
      </c>
      <c r="P1" s="461"/>
      <c r="Q1" s="461"/>
      <c r="R1" s="461"/>
      <c r="S1" s="461"/>
      <c r="T1" s="47"/>
      <c r="U1" s="47"/>
      <c r="V1" s="47"/>
      <c r="X1" s="307" t="s">
        <v>2556</v>
      </c>
      <c r="Y1" s="308">
        <f>Worksheet!AR1</f>
        <v>33517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2565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0" t="s">
        <v>2532</v>
      </c>
      <c r="Q4" s="420"/>
      <c r="R4" s="417">
        <f>Worksheet!R4</f>
        <v>45823</v>
      </c>
      <c r="S4" s="417"/>
      <c r="T4" s="417"/>
      <c r="U4" s="171"/>
      <c r="V4" s="254" t="s">
        <v>40</v>
      </c>
      <c r="W4" s="255" t="str">
        <f>Worksheet!W32</f>
        <v>Riland Duka</v>
      </c>
      <c r="X4" s="255"/>
      <c r="Y4" s="303" t="s">
        <v>2297</v>
      </c>
      <c r="Z4" s="211">
        <f>Worksheet!Z4</f>
        <v>1</v>
      </c>
    </row>
    <row r="5" spans="1:26" s="53" customFormat="1" ht="15.95" customHeight="1">
      <c r="A5" s="198"/>
      <c r="B5" s="314"/>
      <c r="C5" s="312"/>
      <c r="D5" s="319" t="s">
        <v>2558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 t="str">
        <f>Worksheet!W33</f>
        <v>213 Karis Dr</v>
      </c>
      <c r="X5" s="163"/>
      <c r="Y5" s="321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2567</v>
      </c>
      <c r="N6" s="323" t="str">
        <f>Worksheet!W4</f>
        <v>Gregory Mill WO#C5364027-00086.01</v>
      </c>
      <c r="O6" s="323"/>
      <c r="P6" s="65"/>
      <c r="Q6" s="339"/>
      <c r="R6" s="340"/>
      <c r="S6" s="57"/>
      <c r="T6" s="171"/>
      <c r="U6" s="75"/>
      <c r="V6" s="163"/>
      <c r="W6" s="163" t="str">
        <f>Worksheet!W34</f>
        <v>Spring Hill, TN 37174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2566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Primary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34</v>
      </c>
      <c r="H11" s="114">
        <f>Worksheet!H11</f>
        <v>3.5</v>
      </c>
      <c r="I11" s="111">
        <f>Worksheet!I11</f>
        <v>57.5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34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57.5</v>
      </c>
      <c r="P11" s="250">
        <f>Worksheet!P11</f>
        <v>74</v>
      </c>
      <c r="Q11" s="324">
        <f>Worksheet!Q11</f>
        <v>1.4000000000000001</v>
      </c>
      <c r="R11" s="250">
        <f>Worksheet!R11</f>
        <v>62</v>
      </c>
      <c r="S11" s="325">
        <f>Worksheet!S11</f>
        <v>1.6</v>
      </c>
      <c r="T11" s="113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Primary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34</v>
      </c>
      <c r="H12" s="114">
        <f>Worksheet!H12</f>
        <v>3.5</v>
      </c>
      <c r="I12" s="111">
        <f>Worksheet!I12</f>
        <v>57.5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34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57.5</v>
      </c>
      <c r="P12" s="250">
        <f>Worksheet!P12</f>
        <v>74</v>
      </c>
      <c r="Q12" s="324">
        <f>Worksheet!Q12</f>
        <v>1.4000000000000001</v>
      </c>
      <c r="R12" s="250">
        <f>Worksheet!R12</f>
        <v>62</v>
      </c>
      <c r="S12" s="325">
        <f>Worksheet!S12</f>
        <v>1.6</v>
      </c>
      <c r="T12" s="113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Primary</v>
      </c>
      <c r="C13" s="155" t="str">
        <f>Worksheet!C13</f>
        <v>X</v>
      </c>
      <c r="D13" s="112">
        <f>Worksheet!D13</f>
        <v>0</v>
      </c>
      <c r="E13" s="113">
        <f>Worksheet!E13</f>
        <v>1</v>
      </c>
      <c r="F13" s="113" t="str">
        <f>Worksheet!F13</f>
        <v>D</v>
      </c>
      <c r="G13" s="111">
        <f>Worksheet!G13</f>
        <v>34</v>
      </c>
      <c r="H13" s="114">
        <f>Worksheet!H13</f>
        <v>3.5</v>
      </c>
      <c r="I13" s="111">
        <f>Worksheet!I13</f>
        <v>57.5</v>
      </c>
      <c r="J13" s="245" t="str">
        <f t="shared" si="1"/>
        <v>dead</v>
      </c>
      <c r="K13" s="245">
        <f t="shared" si="2"/>
        <v>34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57.5</v>
      </c>
      <c r="P13" s="250">
        <f>Worksheet!P13</f>
        <v>74</v>
      </c>
      <c r="Q13" s="324">
        <f>Worksheet!Q13</f>
        <v>1.4000000000000001</v>
      </c>
      <c r="R13" s="250">
        <f>Worksheet!R13</f>
        <v>62</v>
      </c>
      <c r="S13" s="325">
        <f>Worksheet!S13</f>
        <v>1.6</v>
      </c>
      <c r="T13" s="113"/>
      <c r="U13" s="244">
        <f t="shared" si="5"/>
        <v>1</v>
      </c>
      <c r="V13" s="221" t="str">
        <f>Worksheet!V13</f>
        <v>SKSCM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Primary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34</v>
      </c>
      <c r="H14" s="114">
        <f>Worksheet!H14</f>
        <v>3.5</v>
      </c>
      <c r="I14" s="111">
        <f>Worksheet!I14</f>
        <v>57.5</v>
      </c>
      <c r="J14" s="245" t="str">
        <f t="shared" si="1"/>
        <v>dead</v>
      </c>
      <c r="K14" s="245">
        <f t="shared" si="2"/>
        <v>34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57.5</v>
      </c>
      <c r="P14" s="250">
        <f>Worksheet!P14</f>
        <v>74</v>
      </c>
      <c r="Q14" s="324">
        <f>Worksheet!Q14</f>
        <v>1.4000000000000001</v>
      </c>
      <c r="R14" s="250">
        <f>Worksheet!R14</f>
        <v>62</v>
      </c>
      <c r="S14" s="325">
        <f>Worksheet!S14</f>
        <v>1.6</v>
      </c>
      <c r="T14" s="113">
        <v>0</v>
      </c>
      <c r="U14" s="244">
        <f t="shared" si="5"/>
        <v>1</v>
      </c>
      <c r="V14" s="221" t="str">
        <f>Worksheet!V14</f>
        <v>SKSCM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RS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34</v>
      </c>
      <c r="H15" s="114">
        <f>Worksheet!H15</f>
        <v>3.5</v>
      </c>
      <c r="I15" s="111">
        <f>Worksheet!I15</f>
        <v>57.5</v>
      </c>
      <c r="J15" s="245" t="str">
        <f t="shared" si="1"/>
        <v>dead</v>
      </c>
      <c r="K15" s="245">
        <f t="shared" si="2"/>
        <v>34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57.5</v>
      </c>
      <c r="P15" s="250">
        <f>Worksheet!P15</f>
        <v>74</v>
      </c>
      <c r="Q15" s="324">
        <f>Worksheet!Q15</f>
        <v>1.4000000000000001</v>
      </c>
      <c r="R15" s="250">
        <f>Worksheet!R15</f>
        <v>62</v>
      </c>
      <c r="S15" s="325">
        <f>Worksheet!S15</f>
        <v>1.6</v>
      </c>
      <c r="T15" s="113">
        <v>0</v>
      </c>
      <c r="U15" s="244">
        <f t="shared" si="5"/>
        <v>1</v>
      </c>
      <c r="V15" s="221" t="str">
        <f>Worksheet!V15</f>
        <v>SKSCM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RS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34</v>
      </c>
      <c r="H16" s="114">
        <f>Worksheet!H16</f>
        <v>3.5</v>
      </c>
      <c r="I16" s="111">
        <f>Worksheet!I16</f>
        <v>57.5</v>
      </c>
      <c r="J16" s="245" t="str">
        <f t="shared" si="1"/>
        <v>dead</v>
      </c>
      <c r="K16" s="245">
        <f t="shared" si="2"/>
        <v>34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57.5</v>
      </c>
      <c r="P16" s="250">
        <f>Worksheet!P16</f>
        <v>74</v>
      </c>
      <c r="Q16" s="324">
        <f>Worksheet!Q16</f>
        <v>1.4000000000000001</v>
      </c>
      <c r="R16" s="250">
        <f>Worksheet!R16</f>
        <v>62</v>
      </c>
      <c r="S16" s="325">
        <f>Worksheet!S16</f>
        <v>1.6</v>
      </c>
      <c r="T16" s="113">
        <v>0</v>
      </c>
      <c r="U16" s="244">
        <f t="shared" si="5"/>
        <v>1</v>
      </c>
      <c r="V16" s="221" t="str">
        <f>Worksheet!V16</f>
        <v>SKSCM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RS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34</v>
      </c>
      <c r="H17" s="114">
        <f>Worksheet!H17</f>
        <v>3.5</v>
      </c>
      <c r="I17" s="111">
        <f>Worksheet!I17</f>
        <v>57.5</v>
      </c>
      <c r="J17" s="245" t="str">
        <f t="shared" si="1"/>
        <v>dead</v>
      </c>
      <c r="K17" s="245">
        <f t="shared" si="2"/>
        <v>34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57.5</v>
      </c>
      <c r="P17" s="250">
        <f>Worksheet!P17</f>
        <v>74</v>
      </c>
      <c r="Q17" s="324">
        <f>Worksheet!Q17</f>
        <v>1.4000000000000001</v>
      </c>
      <c r="R17" s="250">
        <f>Worksheet!R17</f>
        <v>62</v>
      </c>
      <c r="S17" s="325">
        <f>Worksheet!S17</f>
        <v>1.6</v>
      </c>
      <c r="T17" s="113">
        <v>0</v>
      </c>
      <c r="U17" s="244">
        <f t="shared" si="5"/>
        <v>1</v>
      </c>
      <c r="V17" s="221" t="str">
        <f>Worksheet!V17</f>
        <v>SKSCM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RS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34</v>
      </c>
      <c r="H18" s="114">
        <f>Worksheet!H18</f>
        <v>3.5</v>
      </c>
      <c r="I18" s="111">
        <f>Worksheet!I18</f>
        <v>57.5</v>
      </c>
      <c r="J18" s="245" t="str">
        <f t="shared" si="1"/>
        <v>dead</v>
      </c>
      <c r="K18" s="245">
        <f t="shared" si="2"/>
        <v>34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57.5</v>
      </c>
      <c r="P18" s="250">
        <f>Worksheet!P18</f>
        <v>74</v>
      </c>
      <c r="Q18" s="324">
        <f>Worksheet!Q18</f>
        <v>1.4000000000000001</v>
      </c>
      <c r="R18" s="250">
        <f>Worksheet!R18</f>
        <v>62</v>
      </c>
      <c r="S18" s="325">
        <f>Worksheet!S18</f>
        <v>1.6</v>
      </c>
      <c r="T18" s="113">
        <v>0</v>
      </c>
      <c r="U18" s="244">
        <f t="shared" si="5"/>
        <v>1</v>
      </c>
      <c r="V18" s="221" t="str">
        <f>Worksheet!V18</f>
        <v>SKSCM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FHC</v>
      </c>
      <c r="C19" s="155" t="str">
        <f>Worksheet!C19</f>
        <v>X</v>
      </c>
      <c r="D19" s="112">
        <f>Worksheet!D19</f>
        <v>0</v>
      </c>
      <c r="E19" s="113">
        <f>Worksheet!E19</f>
        <v>1</v>
      </c>
      <c r="F19" s="113" t="str">
        <f>Worksheet!F19</f>
        <v>D</v>
      </c>
      <c r="G19" s="111">
        <f>Worksheet!G19</f>
        <v>34</v>
      </c>
      <c r="H19" s="114">
        <f>Worksheet!H19</f>
        <v>3.5</v>
      </c>
      <c r="I19" s="111">
        <f>Worksheet!I19</f>
        <v>58</v>
      </c>
      <c r="J19" s="245" t="str">
        <f t="shared" si="1"/>
        <v>dead</v>
      </c>
      <c r="K19" s="245">
        <f>+G19</f>
        <v>34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58</v>
      </c>
      <c r="P19" s="250">
        <f>Worksheet!P19</f>
        <v>74</v>
      </c>
      <c r="Q19" s="324">
        <f>Worksheet!Q19</f>
        <v>1.4000000000000001</v>
      </c>
      <c r="R19" s="250">
        <f>Worksheet!R19</f>
        <v>60</v>
      </c>
      <c r="S19" s="325">
        <f>Worksheet!S19</f>
        <v>1.6</v>
      </c>
      <c r="T19" s="113">
        <v>0</v>
      </c>
      <c r="U19" s="244">
        <f t="shared" si="5"/>
        <v>1</v>
      </c>
      <c r="V19" s="221" t="str">
        <f>Worksheet!V19</f>
        <v>SKSCM</v>
      </c>
      <c r="W19" s="221" t="str">
        <f>Worksheet!W19</f>
        <v>5th Avenue 72</v>
      </c>
      <c r="X19" s="222" t="str">
        <f>Worksheet!X19</f>
        <v xml:space="preserve">Liteless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Clerk #1</v>
      </c>
      <c r="C20" s="155" t="str">
        <f>Worksheet!C20</f>
        <v>X</v>
      </c>
      <c r="D20" s="112">
        <f>Worksheet!D20</f>
        <v>0</v>
      </c>
      <c r="E20" s="113">
        <f>Worksheet!E20</f>
        <v>1</v>
      </c>
      <c r="F20" s="113" t="str">
        <f>Worksheet!F20</f>
        <v>D</v>
      </c>
      <c r="G20" s="111">
        <f>Worksheet!G20</f>
        <v>34</v>
      </c>
      <c r="H20" s="114">
        <f>Worksheet!H20</f>
        <v>3.5</v>
      </c>
      <c r="I20" s="111">
        <f>Worksheet!I20</f>
        <v>57.5</v>
      </c>
      <c r="J20" s="245" t="str">
        <f t="shared" si="1"/>
        <v>dead</v>
      </c>
      <c r="K20" s="245">
        <f>+G20</f>
        <v>34</v>
      </c>
      <c r="L20" s="246" t="str">
        <f>IF(F20&gt;"r",0,IF(G20&gt;0,"+",0))</f>
        <v>+</v>
      </c>
      <c r="M20" s="247">
        <f>Worksheet!M20</f>
        <v>6.5</v>
      </c>
      <c r="N20" s="248" t="str">
        <f>IF(G20&gt;0,"x",0)</f>
        <v>x</v>
      </c>
      <c r="O20" s="249">
        <f>+I20</f>
        <v>57.5</v>
      </c>
      <c r="P20" s="250">
        <f>Worksheet!P20</f>
        <v>74</v>
      </c>
      <c r="Q20" s="324">
        <f>Worksheet!Q20</f>
        <v>1.4000000000000001</v>
      </c>
      <c r="R20" s="250">
        <f>Worksheet!R20</f>
        <v>62</v>
      </c>
      <c r="S20" s="325">
        <f>Worksheet!S20</f>
        <v>1.6</v>
      </c>
      <c r="T20" s="113">
        <v>0</v>
      </c>
      <c r="U20" s="244">
        <f>+D20+E20</f>
        <v>1</v>
      </c>
      <c r="V20" s="221" t="str">
        <f>Worksheet!V20</f>
        <v>SKSCM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Bishop #1</v>
      </c>
      <c r="C21" s="155" t="str">
        <f>Worksheet!C21</f>
        <v>X</v>
      </c>
      <c r="D21" s="112">
        <f>Worksheet!D21</f>
        <v>0</v>
      </c>
      <c r="E21" s="113">
        <f>Worksheet!E21</f>
        <v>1</v>
      </c>
      <c r="F21" s="113" t="str">
        <f>Worksheet!F21</f>
        <v>D</v>
      </c>
      <c r="G21" s="111">
        <f>Worksheet!G21</f>
        <v>34</v>
      </c>
      <c r="H21" s="114">
        <f>Worksheet!H21</f>
        <v>3.5</v>
      </c>
      <c r="I21" s="111">
        <f>Worksheet!I21</f>
        <v>57.5</v>
      </c>
      <c r="J21" s="245" t="str">
        <f t="shared" si="1"/>
        <v>dead</v>
      </c>
      <c r="K21" s="245">
        <f t="shared" si="2"/>
        <v>34</v>
      </c>
      <c r="L21" s="246" t="str">
        <f t="shared" si="3"/>
        <v>+</v>
      </c>
      <c r="M21" s="247">
        <f>Worksheet!M21</f>
        <v>6.5</v>
      </c>
      <c r="N21" s="248" t="str">
        <f t="shared" si="4"/>
        <v>x</v>
      </c>
      <c r="O21" s="249">
        <f t="shared" si="0"/>
        <v>57.5</v>
      </c>
      <c r="P21" s="250">
        <f>Worksheet!P21</f>
        <v>74</v>
      </c>
      <c r="Q21" s="324">
        <f>Worksheet!Q21</f>
        <v>1.4000000000000001</v>
      </c>
      <c r="R21" s="250">
        <f>Worksheet!R21</f>
        <v>62</v>
      </c>
      <c r="S21" s="325">
        <f>Worksheet!S21</f>
        <v>1.6</v>
      </c>
      <c r="T21" s="113">
        <v>0</v>
      </c>
      <c r="U21" s="244">
        <f t="shared" si="5"/>
        <v>1</v>
      </c>
      <c r="V21" s="221" t="str">
        <f>Worksheet!V21</f>
        <v>SKSCM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YW</v>
      </c>
      <c r="C22" s="155" t="str">
        <f>Worksheet!C22</f>
        <v>X</v>
      </c>
      <c r="D22" s="112">
        <f>Worksheet!D22</f>
        <v>0</v>
      </c>
      <c r="E22" s="113">
        <f>Worksheet!E22</f>
        <v>1</v>
      </c>
      <c r="F22" s="113" t="str">
        <f>Worksheet!F22</f>
        <v>D</v>
      </c>
      <c r="G22" s="111">
        <f>Worksheet!G22</f>
        <v>34</v>
      </c>
      <c r="H22" s="114">
        <f>Worksheet!H22</f>
        <v>3.5</v>
      </c>
      <c r="I22" s="111">
        <f>Worksheet!I22</f>
        <v>58</v>
      </c>
      <c r="J22" s="245" t="str">
        <f t="shared" si="1"/>
        <v>dead</v>
      </c>
      <c r="K22" s="245">
        <f t="shared" si="2"/>
        <v>34</v>
      </c>
      <c r="L22" s="246" t="str">
        <f t="shared" si="3"/>
        <v>+</v>
      </c>
      <c r="M22" s="247">
        <f>Worksheet!M22</f>
        <v>6.5</v>
      </c>
      <c r="N22" s="248" t="str">
        <f t="shared" si="4"/>
        <v>x</v>
      </c>
      <c r="O22" s="249">
        <f t="shared" si="0"/>
        <v>58</v>
      </c>
      <c r="P22" s="250">
        <f>Worksheet!P22</f>
        <v>74</v>
      </c>
      <c r="Q22" s="324">
        <f>Worksheet!Q22</f>
        <v>1.4000000000000001</v>
      </c>
      <c r="R22" s="250">
        <f>Worksheet!R22</f>
        <v>62</v>
      </c>
      <c r="S22" s="325">
        <f>Worksheet!S22</f>
        <v>1.6</v>
      </c>
      <c r="T22" s="113">
        <v>0</v>
      </c>
      <c r="U22" s="244">
        <f t="shared" si="5"/>
        <v>1</v>
      </c>
      <c r="V22" s="221" t="str">
        <f>Worksheet!V22</f>
        <v>SKSCM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YW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D</v>
      </c>
      <c r="G23" s="111">
        <f>Worksheet!G23</f>
        <v>34</v>
      </c>
      <c r="H23" s="114">
        <f>Worksheet!H23</f>
        <v>3.5</v>
      </c>
      <c r="I23" s="111">
        <f>Worksheet!I23</f>
        <v>58</v>
      </c>
      <c r="J23" s="245" t="str">
        <f t="shared" si="1"/>
        <v>dead</v>
      </c>
      <c r="K23" s="245">
        <f t="shared" si="2"/>
        <v>34</v>
      </c>
      <c r="L23" s="246" t="str">
        <f t="shared" si="3"/>
        <v>+</v>
      </c>
      <c r="M23" s="247">
        <f>Worksheet!M23</f>
        <v>6.5</v>
      </c>
      <c r="N23" s="248" t="str">
        <f t="shared" si="4"/>
        <v>x</v>
      </c>
      <c r="O23" s="249">
        <f t="shared" si="0"/>
        <v>58</v>
      </c>
      <c r="P23" s="250">
        <f>Worksheet!P23</f>
        <v>74</v>
      </c>
      <c r="Q23" s="324">
        <f>Worksheet!Q23</f>
        <v>1.4000000000000001</v>
      </c>
      <c r="R23" s="250">
        <f>Worksheet!R23</f>
        <v>62</v>
      </c>
      <c r="S23" s="325">
        <f>Worksheet!S23</f>
        <v>1.6</v>
      </c>
      <c r="T23" s="113">
        <v>0</v>
      </c>
      <c r="U23" s="244">
        <f t="shared" si="5"/>
        <v>1</v>
      </c>
      <c r="V23" s="221" t="str">
        <f>Worksheet!V23</f>
        <v>SKSCM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YW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D</v>
      </c>
      <c r="G24" s="111">
        <f>Worksheet!G24</f>
        <v>34</v>
      </c>
      <c r="H24" s="114">
        <f>Worksheet!H24</f>
        <v>3.5</v>
      </c>
      <c r="I24" s="111">
        <f>Worksheet!I24</f>
        <v>58</v>
      </c>
      <c r="J24" s="245" t="str">
        <f t="shared" si="1"/>
        <v>dead</v>
      </c>
      <c r="K24" s="245">
        <f t="shared" si="2"/>
        <v>34</v>
      </c>
      <c r="L24" s="246" t="str">
        <f t="shared" si="3"/>
        <v>+</v>
      </c>
      <c r="M24" s="247">
        <f>Worksheet!M24</f>
        <v>6.5</v>
      </c>
      <c r="N24" s="248" t="str">
        <f t="shared" si="4"/>
        <v>x</v>
      </c>
      <c r="O24" s="249">
        <f t="shared" si="0"/>
        <v>58</v>
      </c>
      <c r="P24" s="250">
        <f>Worksheet!P24</f>
        <v>74</v>
      </c>
      <c r="Q24" s="324">
        <f>Worksheet!Q24</f>
        <v>1.4000000000000001</v>
      </c>
      <c r="R24" s="250">
        <f>Worksheet!R24</f>
        <v>62</v>
      </c>
      <c r="S24" s="325">
        <f>Worksheet!S24</f>
        <v>1.6</v>
      </c>
      <c r="T24" s="113">
        <v>0</v>
      </c>
      <c r="U24" s="244">
        <f t="shared" si="5"/>
        <v>1</v>
      </c>
      <c r="V24" s="221" t="str">
        <f>Worksheet!V24</f>
        <v>SKSCM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YW</v>
      </c>
      <c r="C25" s="155" t="str">
        <f>Worksheet!C25</f>
        <v>X</v>
      </c>
      <c r="D25" s="112">
        <f>Worksheet!D25</f>
        <v>0</v>
      </c>
      <c r="E25" s="113">
        <f>Worksheet!E25</f>
        <v>1</v>
      </c>
      <c r="F25" s="113" t="str">
        <f>Worksheet!F25</f>
        <v>D</v>
      </c>
      <c r="G25" s="111">
        <f>Worksheet!G25</f>
        <v>34</v>
      </c>
      <c r="H25" s="114">
        <f>Worksheet!H25</f>
        <v>3.5</v>
      </c>
      <c r="I25" s="111">
        <f>Worksheet!I25</f>
        <v>58</v>
      </c>
      <c r="J25" s="245" t="str">
        <f t="shared" si="1"/>
        <v>dead</v>
      </c>
      <c r="K25" s="245">
        <f t="shared" si="2"/>
        <v>34</v>
      </c>
      <c r="L25" s="246" t="str">
        <f t="shared" si="3"/>
        <v>+</v>
      </c>
      <c r="M25" s="247">
        <f>Worksheet!M25</f>
        <v>6.5</v>
      </c>
      <c r="N25" s="248" t="str">
        <f t="shared" si="4"/>
        <v>x</v>
      </c>
      <c r="O25" s="249">
        <f t="shared" si="0"/>
        <v>58</v>
      </c>
      <c r="P25" s="250">
        <f>Worksheet!P25</f>
        <v>74</v>
      </c>
      <c r="Q25" s="324">
        <f>Worksheet!Q25</f>
        <v>1.4000000000000001</v>
      </c>
      <c r="R25" s="250">
        <f>Worksheet!R25</f>
        <v>62</v>
      </c>
      <c r="S25" s="325">
        <f>Worksheet!S25</f>
        <v>1.6</v>
      </c>
      <c r="T25" s="113">
        <v>0</v>
      </c>
      <c r="U25" s="244">
        <f t="shared" si="5"/>
        <v>1</v>
      </c>
      <c r="V25" s="221" t="str">
        <f>Worksheet!V25</f>
        <v>SKSCM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Mothers Room</v>
      </c>
      <c r="C26" s="155" t="str">
        <f>Worksheet!C26</f>
        <v>X</v>
      </c>
      <c r="D26" s="112">
        <f>Worksheet!D26</f>
        <v>0</v>
      </c>
      <c r="E26" s="113">
        <f>Worksheet!E26</f>
        <v>1</v>
      </c>
      <c r="F26" s="113" t="str">
        <f>Worksheet!F26</f>
        <v>D</v>
      </c>
      <c r="G26" s="111">
        <f>Worksheet!G26</f>
        <v>34</v>
      </c>
      <c r="H26" s="114">
        <f>Worksheet!H26</f>
        <v>3.5</v>
      </c>
      <c r="I26" s="111">
        <f>Worksheet!I26</f>
        <v>58</v>
      </c>
      <c r="J26" s="245" t="str">
        <f t="shared" si="1"/>
        <v>dead</v>
      </c>
      <c r="K26" s="245">
        <f t="shared" si="2"/>
        <v>34</v>
      </c>
      <c r="L26" s="246" t="str">
        <f t="shared" si="3"/>
        <v>+</v>
      </c>
      <c r="M26" s="247">
        <f>Worksheet!M26</f>
        <v>6.5</v>
      </c>
      <c r="N26" s="248" t="str">
        <f t="shared" si="4"/>
        <v>x</v>
      </c>
      <c r="O26" s="249">
        <f t="shared" si="0"/>
        <v>58</v>
      </c>
      <c r="P26" s="250">
        <f>Worksheet!P26</f>
        <v>74</v>
      </c>
      <c r="Q26" s="324">
        <f>Worksheet!Q26</f>
        <v>1.4000000000000001</v>
      </c>
      <c r="R26" s="250">
        <f>Worksheet!R26</f>
        <v>60</v>
      </c>
      <c r="S26" s="325">
        <f>Worksheet!S26</f>
        <v>1.6</v>
      </c>
      <c r="T26" s="113">
        <v>0</v>
      </c>
      <c r="U26" s="244">
        <f t="shared" si="5"/>
        <v>1</v>
      </c>
      <c r="V26" s="221" t="str">
        <f>Worksheet!V26</f>
        <v>SKSCM</v>
      </c>
      <c r="W26" s="221" t="str">
        <f>Worksheet!W26</f>
        <v>5th Avenue 72</v>
      </c>
      <c r="X26" s="222" t="str">
        <f>Worksheet!X26</f>
        <v xml:space="preserve">Liteless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Bishop #2</v>
      </c>
      <c r="C27" s="155" t="str">
        <f>Worksheet!C27</f>
        <v>X</v>
      </c>
      <c r="D27" s="112">
        <f>Worksheet!D27</f>
        <v>0</v>
      </c>
      <c r="E27" s="113">
        <f>Worksheet!E27</f>
        <v>1</v>
      </c>
      <c r="F27" s="113" t="str">
        <f>Worksheet!F27</f>
        <v>D</v>
      </c>
      <c r="G27" s="111">
        <f>Worksheet!G27</f>
        <v>34</v>
      </c>
      <c r="H27" s="114">
        <f>Worksheet!H27</f>
        <v>3.5</v>
      </c>
      <c r="I27" s="111">
        <f>Worksheet!I27</f>
        <v>57.5</v>
      </c>
      <c r="J27" s="245" t="str">
        <f t="shared" si="1"/>
        <v>dead</v>
      </c>
      <c r="K27" s="245">
        <f t="shared" si="2"/>
        <v>34</v>
      </c>
      <c r="L27" s="246" t="str">
        <f t="shared" si="3"/>
        <v>+</v>
      </c>
      <c r="M27" s="247">
        <f>Worksheet!M27</f>
        <v>6.5</v>
      </c>
      <c r="N27" s="248" t="str">
        <f t="shared" si="4"/>
        <v>x</v>
      </c>
      <c r="O27" s="249">
        <f t="shared" si="0"/>
        <v>57.5</v>
      </c>
      <c r="P27" s="250">
        <f>Worksheet!P27</f>
        <v>74</v>
      </c>
      <c r="Q27" s="324">
        <f>Worksheet!Q27</f>
        <v>1.4000000000000001</v>
      </c>
      <c r="R27" s="250">
        <f>Worksheet!R27</f>
        <v>62</v>
      </c>
      <c r="S27" s="325">
        <f>Worksheet!S27</f>
        <v>1.6</v>
      </c>
      <c r="T27" s="113">
        <v>0</v>
      </c>
      <c r="U27" s="244">
        <f t="shared" si="5"/>
        <v>1</v>
      </c>
      <c r="V27" s="221" t="str">
        <f>Worksheet!V27</f>
        <v>SKSCM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Clerk #2</v>
      </c>
      <c r="C28" s="155" t="str">
        <f>Worksheet!C28</f>
        <v>X</v>
      </c>
      <c r="D28" s="112">
        <f>Worksheet!D28</f>
        <v>0</v>
      </c>
      <c r="E28" s="113">
        <f>Worksheet!E28</f>
        <v>1</v>
      </c>
      <c r="F28" s="113" t="str">
        <f>Worksheet!F28</f>
        <v>D</v>
      </c>
      <c r="G28" s="111">
        <f>Worksheet!G28</f>
        <v>34</v>
      </c>
      <c r="H28" s="114">
        <f>Worksheet!H28</f>
        <v>3.5</v>
      </c>
      <c r="I28" s="111">
        <f>Worksheet!I28</f>
        <v>58</v>
      </c>
      <c r="J28" s="245" t="str">
        <f t="shared" si="1"/>
        <v>dead</v>
      </c>
      <c r="K28" s="245">
        <f t="shared" si="2"/>
        <v>34</v>
      </c>
      <c r="L28" s="246" t="str">
        <f t="shared" si="3"/>
        <v>+</v>
      </c>
      <c r="M28" s="247">
        <f>Worksheet!M28</f>
        <v>6.5</v>
      </c>
      <c r="N28" s="248" t="str">
        <f t="shared" si="4"/>
        <v>x</v>
      </c>
      <c r="O28" s="249">
        <f t="shared" si="0"/>
        <v>58</v>
      </c>
      <c r="P28" s="250">
        <f>Worksheet!P28</f>
        <v>74</v>
      </c>
      <c r="Q28" s="324">
        <f>Worksheet!Q28</f>
        <v>1.4000000000000001</v>
      </c>
      <c r="R28" s="250">
        <f>Worksheet!R28</f>
        <v>62</v>
      </c>
      <c r="S28" s="325">
        <f>Worksheet!S28</f>
        <v>1.6</v>
      </c>
      <c r="T28" s="113">
        <v>0</v>
      </c>
      <c r="U28" s="244">
        <f t="shared" si="5"/>
        <v>1</v>
      </c>
      <c r="V28" s="221" t="str">
        <f>Worksheet!V28</f>
        <v>SKSCM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Clerk #2</v>
      </c>
      <c r="C29" s="155" t="str">
        <f>Worksheet!C29</f>
        <v>X</v>
      </c>
      <c r="D29" s="112">
        <f>Worksheet!D29</f>
        <v>0</v>
      </c>
      <c r="E29" s="113">
        <f>Worksheet!E29</f>
        <v>1</v>
      </c>
      <c r="F29" s="113" t="str">
        <f>Worksheet!F29</f>
        <v>D</v>
      </c>
      <c r="G29" s="111">
        <f>Worksheet!G29</f>
        <v>34</v>
      </c>
      <c r="H29" s="114">
        <f>Worksheet!H29</f>
        <v>3.5</v>
      </c>
      <c r="I29" s="111">
        <f>Worksheet!I29</f>
        <v>58</v>
      </c>
      <c r="J29" s="245" t="str">
        <f t="shared" si="1"/>
        <v>dead</v>
      </c>
      <c r="K29" s="245">
        <f t="shared" si="2"/>
        <v>34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58</v>
      </c>
      <c r="P29" s="250">
        <f>Worksheet!P29</f>
        <v>74</v>
      </c>
      <c r="Q29" s="324">
        <f>Worksheet!Q29</f>
        <v>1.4000000000000001</v>
      </c>
      <c r="R29" s="250">
        <f>Worksheet!R29</f>
        <v>62</v>
      </c>
      <c r="S29" s="325">
        <f>Worksheet!S29</f>
        <v>1.6</v>
      </c>
      <c r="T29" s="113">
        <v>0</v>
      </c>
      <c r="U29" s="244">
        <f t="shared" si="5"/>
        <v>1</v>
      </c>
      <c r="V29" s="221" t="str">
        <f>Worksheet!V29</f>
        <v>SKSCM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Bishop #3</v>
      </c>
      <c r="C30" s="155" t="str">
        <f>Worksheet!C30</f>
        <v>X</v>
      </c>
      <c r="D30" s="112">
        <f>Worksheet!D30</f>
        <v>0</v>
      </c>
      <c r="E30" s="113">
        <f>Worksheet!E30</f>
        <v>1</v>
      </c>
      <c r="F30" s="113" t="str">
        <f>Worksheet!F30</f>
        <v>D</v>
      </c>
      <c r="G30" s="111">
        <f>Worksheet!G30</f>
        <v>34</v>
      </c>
      <c r="H30" s="114">
        <f>Worksheet!H30</f>
        <v>3.5</v>
      </c>
      <c r="I30" s="111">
        <f>Worksheet!I30</f>
        <v>58</v>
      </c>
      <c r="J30" s="326" t="str">
        <f t="shared" si="1"/>
        <v>dead</v>
      </c>
      <c r="K30" s="326">
        <f t="shared" si="2"/>
        <v>34</v>
      </c>
      <c r="L30" s="327" t="str">
        <f t="shared" si="3"/>
        <v>+</v>
      </c>
      <c r="M30" s="247">
        <f>Worksheet!M30</f>
        <v>6.5</v>
      </c>
      <c r="N30" s="328" t="str">
        <f t="shared" si="4"/>
        <v>x</v>
      </c>
      <c r="O30" s="329">
        <f t="shared" si="0"/>
        <v>58</v>
      </c>
      <c r="P30" s="250">
        <f>Worksheet!P30</f>
        <v>74</v>
      </c>
      <c r="Q30" s="324">
        <f>Worksheet!Q30</f>
        <v>1.4000000000000001</v>
      </c>
      <c r="R30" s="250">
        <f>Worksheet!R30</f>
        <v>62</v>
      </c>
      <c r="S30" s="325">
        <f>Worksheet!S30</f>
        <v>1.6</v>
      </c>
      <c r="T30" s="113">
        <v>0</v>
      </c>
      <c r="U30" s="244">
        <f t="shared" si="5"/>
        <v>1</v>
      </c>
      <c r="V30" s="221" t="str">
        <f>Worksheet!V30</f>
        <v>SKSCM</v>
      </c>
      <c r="W30" s="221" t="str">
        <f>Worksheet!W30</f>
        <v>5th Avenue 72</v>
      </c>
      <c r="X30" s="222" t="str">
        <f>Worksheet!X30</f>
        <v xml:space="preserve">Flameguard 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2560</v>
      </c>
      <c r="W32" s="333">
        <f>Worksheet!Z32</f>
        <v>60</v>
      </c>
      <c r="X32" s="66"/>
      <c r="Y32" s="66"/>
      <c r="Z32" s="43"/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2561</v>
      </c>
      <c r="W33" s="333">
        <f>Worksheet!Z33</f>
        <v>75.249999999999986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2553</v>
      </c>
      <c r="P34" s="342">
        <f>Worksheet!O34</f>
        <v>10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2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2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2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5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5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SKSCM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SKSCM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SKSCM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 t="str">
        <f>Worksheet!V14</f>
        <v>SKSCM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10</v>
      </c>
      <c r="K39" s="231"/>
      <c r="L39" s="204">
        <v>5</v>
      </c>
      <c r="M39" s="237" t="str">
        <f>Worksheet!V15</f>
        <v>SKSCM</v>
      </c>
      <c r="O39" s="204">
        <f>COUNTIF($M35:$M54,$P40)</f>
        <v>0</v>
      </c>
      <c r="P39" s="214" t="s">
        <v>2597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10</v>
      </c>
      <c r="K40" s="231"/>
      <c r="L40" s="204">
        <v>6</v>
      </c>
      <c r="M40" s="237" t="str">
        <f>Worksheet!V16</f>
        <v>SKSCM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10</v>
      </c>
      <c r="K41" s="231"/>
      <c r="L41" s="204">
        <v>7</v>
      </c>
      <c r="M41" s="237" t="str">
        <f>Worksheet!V17</f>
        <v>SKSCM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10</v>
      </c>
      <c r="K42" s="231"/>
      <c r="L42" s="204">
        <v>8</v>
      </c>
      <c r="M42" s="237" t="str">
        <f>Worksheet!V18</f>
        <v>SKSCM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10</v>
      </c>
      <c r="K43" s="231"/>
      <c r="L43" s="204">
        <v>9</v>
      </c>
      <c r="M43" s="237" t="str">
        <f>Worksheet!V19</f>
        <v>SKSCM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10</v>
      </c>
      <c r="K44" s="231"/>
      <c r="L44" s="204">
        <v>10</v>
      </c>
      <c r="M44" s="237" t="str">
        <f>Worksheet!V20</f>
        <v>SKSCM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10</v>
      </c>
      <c r="K45" s="231"/>
      <c r="L45" s="204">
        <v>11</v>
      </c>
      <c r="M45" s="237" t="str">
        <f>Worksheet!V21</f>
        <v>SKSCM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10</v>
      </c>
      <c r="K46" s="231"/>
      <c r="L46" s="204">
        <v>12</v>
      </c>
      <c r="M46" s="237" t="str">
        <f>Worksheet!V22</f>
        <v>SKSCM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10</v>
      </c>
      <c r="K47" s="231"/>
      <c r="L47" s="204">
        <v>13</v>
      </c>
      <c r="M47" s="237" t="str">
        <f>Worksheet!V23</f>
        <v>SKSCM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10</v>
      </c>
      <c r="K48" s="231"/>
      <c r="L48" s="204">
        <v>14</v>
      </c>
      <c r="M48" s="237" t="str">
        <f>Worksheet!V24</f>
        <v>SKSCM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10</v>
      </c>
      <c r="K49" s="231"/>
      <c r="L49" s="204">
        <v>15</v>
      </c>
      <c r="M49" s="237" t="str">
        <f>Worksheet!V25</f>
        <v>SKSCM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10</v>
      </c>
      <c r="K50" s="231"/>
      <c r="L50" s="204">
        <v>16</v>
      </c>
      <c r="M50" s="237" t="str">
        <f>Worksheet!V26</f>
        <v>SKSCM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10</v>
      </c>
      <c r="K51" s="231"/>
      <c r="L51" s="204">
        <v>17</v>
      </c>
      <c r="M51" s="237" t="str">
        <f>Worksheet!V27</f>
        <v>SKSCM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10</v>
      </c>
      <c r="K52" s="231"/>
      <c r="L52" s="204">
        <v>18</v>
      </c>
      <c r="M52" s="237" t="str">
        <f>Worksheet!V28</f>
        <v>SKSCM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10</v>
      </c>
      <c r="K53" s="231"/>
      <c r="L53" s="204">
        <v>19</v>
      </c>
      <c r="M53" s="237" t="str">
        <f>Worksheet!V29</f>
        <v>SKSCM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10</v>
      </c>
      <c r="K54" s="231"/>
      <c r="L54" s="204">
        <v>20</v>
      </c>
      <c r="M54" s="237" t="str">
        <f>Worksheet!V30</f>
        <v>SKSCM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10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10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10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10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5" thickBot="1">
      <c r="B59" s="210">
        <v>30</v>
      </c>
      <c r="H59" s="215" t="s">
        <v>2570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2571</v>
      </c>
      <c r="I60" s="214" t="e">
        <f>IF(#REF!&gt;0,(ROUNDUP((#REF!-(#REF!+3.5))/4 +1,0))*2,ROUNDUP((#REF!-(#REF!+3.5))/4 +1,0))</f>
        <v>#REF!</v>
      </c>
      <c r="P60" s="201" t="s">
        <v>2548</v>
      </c>
      <c r="Y60"/>
      <c r="Z60" t="s">
        <v>2451</v>
      </c>
      <c r="AA60"/>
      <c r="AB60" t="s">
        <v>2451</v>
      </c>
      <c r="AC60"/>
    </row>
    <row r="61" spans="1:29">
      <c r="H61" s="215" t="s">
        <v>2572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2573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2574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2575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2576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5" t="s">
        <v>2577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2578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2.8583333333333329</v>
      </c>
      <c r="C68">
        <f>Worksheet!AE11</f>
        <v>3.75</v>
      </c>
      <c r="D68">
        <f>IF(Worksheet!AA11&gt;0,(Worksheet!AA11*Worksheet!P11+8)/36,0)</f>
        <v>3.0999999999999996</v>
      </c>
      <c r="E68">
        <f>IF(Worksheet!M11&gt;0,Worksheet!AA11+1,0)</f>
        <v>2.4</v>
      </c>
      <c r="F68">
        <f ca="1">IF(Worksheet!M11&gt;0,I39+2,0)</f>
        <v>12</v>
      </c>
      <c r="H68" s="215" t="s">
        <v>2579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2.8583333333333329</v>
      </c>
      <c r="C69">
        <f>Worksheet!AE12</f>
        <v>3.75</v>
      </c>
      <c r="D69">
        <f>IF(Worksheet!AA12&gt;0,(Worksheet!AA12*Worksheet!P12+8)/36,0)</f>
        <v>3.0999999999999996</v>
      </c>
      <c r="E69">
        <f>IF(Worksheet!M12&gt;0,Worksheet!AA12+1,0)</f>
        <v>2.4</v>
      </c>
      <c r="F69">
        <f ca="1">IF(Worksheet!M12&gt;0,I40+2,0)</f>
        <v>12</v>
      </c>
      <c r="H69" s="215" t="s">
        <v>2580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2.8583333333333329</v>
      </c>
      <c r="C70">
        <f>Worksheet!AE13</f>
        <v>3.75</v>
      </c>
      <c r="D70">
        <f>IF(Worksheet!AA13&gt;0,(Worksheet!AA13*Worksheet!P13+8)/36,0)</f>
        <v>3.0999999999999996</v>
      </c>
      <c r="E70">
        <f>IF(Worksheet!M13&gt;0,Worksheet!AA13+1,0)</f>
        <v>2.4</v>
      </c>
      <c r="F70">
        <f ca="1">IF(Worksheet!M13&gt;0,I41+2,0)</f>
        <v>12</v>
      </c>
      <c r="H70" s="215" t="s">
        <v>2581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2.8583333333333329</v>
      </c>
      <c r="C71">
        <f>Worksheet!AE14</f>
        <v>3.75</v>
      </c>
      <c r="D71">
        <f>IF(Worksheet!AA14&gt;0,(Worksheet!AA14*Worksheet!P14+8)/36,0)</f>
        <v>3.0999999999999996</v>
      </c>
      <c r="E71">
        <f>IF(Worksheet!M14&gt;0,Worksheet!AA14+1,0)</f>
        <v>2.4</v>
      </c>
      <c r="F71">
        <f ca="1">IF(Worksheet!M14&gt;0,I42+2,0)</f>
        <v>12</v>
      </c>
      <c r="H71" s="215" t="s">
        <v>2582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2.8583333333333329</v>
      </c>
      <c r="C72">
        <f>Worksheet!AE15</f>
        <v>3.75</v>
      </c>
      <c r="D72">
        <f>IF(Worksheet!AA15&gt;0,(Worksheet!AA15*Worksheet!P15+8)/36,0)</f>
        <v>3.0999999999999996</v>
      </c>
      <c r="E72">
        <f>IF(Worksheet!M15&gt;0,Worksheet!AA15+1,0)</f>
        <v>2.4</v>
      </c>
      <c r="F72">
        <f ca="1">IF(Worksheet!M15&gt;0,I43+2,0)</f>
        <v>12</v>
      </c>
      <c r="H72" s="215" t="s">
        <v>2583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2.8583333333333329</v>
      </c>
      <c r="C73">
        <f>Worksheet!AE16</f>
        <v>3.75</v>
      </c>
      <c r="D73">
        <f>IF(Worksheet!AA16&gt;0,(Worksheet!AA16*Worksheet!P16+8)/36,0)</f>
        <v>3.0999999999999996</v>
      </c>
      <c r="E73">
        <f>IF(Worksheet!M16&gt;0,Worksheet!AA16+1,0)</f>
        <v>2.4</v>
      </c>
      <c r="F73">
        <f ca="1">IF(Worksheet!M16&gt;0,I44+2,0)</f>
        <v>12</v>
      </c>
      <c r="H73" s="215" t="s">
        <v>2584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2.8583333333333329</v>
      </c>
      <c r="C74">
        <f>Worksheet!AE17</f>
        <v>3.75</v>
      </c>
      <c r="D74">
        <f>IF(Worksheet!AA17&gt;0,(Worksheet!AA17*Worksheet!P17+8)/36,0)</f>
        <v>3.0999999999999996</v>
      </c>
      <c r="E74">
        <f>IF(Worksheet!M17&gt;0,Worksheet!AA17+1,0)</f>
        <v>2.4</v>
      </c>
      <c r="F74">
        <f ca="1">IF(Worksheet!M17&gt;0,I45+2,0)</f>
        <v>12</v>
      </c>
      <c r="H74" s="215" t="s">
        <v>2585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2.8583333333333329</v>
      </c>
      <c r="C75">
        <f>Worksheet!AE18</f>
        <v>3.75</v>
      </c>
      <c r="D75">
        <f>IF(Worksheet!AA18&gt;0,(Worksheet!AA18*Worksheet!P18+8)/36,0)</f>
        <v>3.0999999999999996</v>
      </c>
      <c r="E75">
        <f>IF(Worksheet!M18&gt;0,Worksheet!AA18+1,0)</f>
        <v>2.4</v>
      </c>
      <c r="F75">
        <f ca="1">IF(Worksheet!M18&gt;0,I46+2,0)</f>
        <v>12</v>
      </c>
      <c r="H75" s="215" t="s">
        <v>2586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2.8777777777777778</v>
      </c>
      <c r="C76">
        <f>Worksheet!AE19</f>
        <v>3.7777777777777777</v>
      </c>
      <c r="D76">
        <f>IF(Worksheet!AA19&gt;0,(Worksheet!AA19*Worksheet!P19+8)/36,0)</f>
        <v>3.0999999999999996</v>
      </c>
      <c r="E76">
        <f>IF(Worksheet!M19&gt;0,Worksheet!AA19+1,0)</f>
        <v>2.4</v>
      </c>
      <c r="F76">
        <f ca="1">IF(Worksheet!M19&gt;0,I47+2,0)</f>
        <v>12</v>
      </c>
      <c r="H76" s="215" t="s">
        <v>2587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2.8583333333333329</v>
      </c>
      <c r="C77">
        <f>Worksheet!AE20</f>
        <v>3.75</v>
      </c>
      <c r="D77">
        <f>IF(Worksheet!AA20&gt;0,(Worksheet!AA20*Worksheet!P20+8)/36,0)</f>
        <v>3.0999999999999996</v>
      </c>
      <c r="E77">
        <f>IF(Worksheet!M20&gt;0,Worksheet!AA20+1,0)</f>
        <v>2.4</v>
      </c>
      <c r="F77">
        <f ca="1">IF(Worksheet!M20&gt;0,I48+2,0)</f>
        <v>12</v>
      </c>
      <c r="H77" s="215" t="s">
        <v>2588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2.8583333333333329</v>
      </c>
      <c r="C78">
        <f>Worksheet!AE21</f>
        <v>3.75</v>
      </c>
      <c r="D78">
        <f>IF(Worksheet!AA21&gt;0,(Worksheet!AA21*Worksheet!P21+8)/36,0)</f>
        <v>3.0999999999999996</v>
      </c>
      <c r="E78">
        <f>IF(Worksheet!M21&gt;0,Worksheet!AA21+1,0)</f>
        <v>2.4</v>
      </c>
      <c r="F78">
        <f ca="1">IF(Worksheet!M21&gt;0,I49+2,0)</f>
        <v>12</v>
      </c>
      <c r="H78" s="215" t="s">
        <v>2589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2.8777777777777778</v>
      </c>
      <c r="C79">
        <f>Worksheet!AE22</f>
        <v>3.7777777777777777</v>
      </c>
      <c r="D79">
        <f>IF(Worksheet!AA22&gt;0,(Worksheet!AA22*Worksheet!P22+8)/36,0)</f>
        <v>3.0999999999999996</v>
      </c>
      <c r="E79">
        <f>IF(Worksheet!M22&gt;0,Worksheet!AA22+1,0)</f>
        <v>2.4</v>
      </c>
      <c r="F79">
        <f ca="1">IF(Worksheet!M22&gt;0,I50+2,0)</f>
        <v>12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2.8777777777777778</v>
      </c>
      <c r="C80">
        <f>Worksheet!AE23</f>
        <v>3.7777777777777777</v>
      </c>
      <c r="D80">
        <f>IF(Worksheet!AA23&gt;0,(Worksheet!AA23*Worksheet!P23+8)/36,0)</f>
        <v>3.0999999999999996</v>
      </c>
      <c r="E80">
        <f>IF(Worksheet!M23&gt;0,Worksheet!AA23+1,0)</f>
        <v>2.4</v>
      </c>
      <c r="F80">
        <f ca="1">IF(Worksheet!M23&gt;0,I51+2,0)</f>
        <v>12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2.8777777777777778</v>
      </c>
      <c r="C81">
        <f>Worksheet!AE24</f>
        <v>3.7777777777777777</v>
      </c>
      <c r="D81">
        <f>IF(Worksheet!AA24&gt;0,(Worksheet!AA24*Worksheet!P24+8)/36,0)</f>
        <v>3.0999999999999996</v>
      </c>
      <c r="E81">
        <f>IF(Worksheet!M24&gt;0,Worksheet!AA24+1,0)</f>
        <v>2.4</v>
      </c>
      <c r="F81">
        <f ca="1">IF(Worksheet!M24&gt;0,I52+2,0)</f>
        <v>12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2.8777777777777778</v>
      </c>
      <c r="C82">
        <f>Worksheet!AE25</f>
        <v>3.7777777777777777</v>
      </c>
      <c r="D82">
        <f>IF(Worksheet!AA25&gt;0,(Worksheet!AA25*Worksheet!P25+8)/36,0)</f>
        <v>3.0999999999999996</v>
      </c>
      <c r="E82">
        <f>IF(Worksheet!M25&gt;0,Worksheet!AA25+1,0)</f>
        <v>2.4</v>
      </c>
      <c r="F82">
        <f ca="1">IF(Worksheet!M25&gt;0,I53+2,0)</f>
        <v>12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2.8777777777777778</v>
      </c>
      <c r="C83">
        <f>Worksheet!AE26</f>
        <v>3.7777777777777777</v>
      </c>
      <c r="D83">
        <f>IF(Worksheet!AA26&gt;0,(Worksheet!AA26*Worksheet!P26+8)/36,0)</f>
        <v>3.0999999999999996</v>
      </c>
      <c r="E83">
        <f>IF(Worksheet!M26&gt;0,Worksheet!AA26+1,0)</f>
        <v>2.4</v>
      </c>
      <c r="F83">
        <f ca="1">IF(Worksheet!M26&gt;0,I54+2,0)</f>
        <v>12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2.8583333333333329</v>
      </c>
      <c r="C84">
        <f>Worksheet!AE27</f>
        <v>3.75</v>
      </c>
      <c r="D84">
        <f>IF(Worksheet!AA27&gt;0,(Worksheet!AA27*Worksheet!P27+8)/36,0)</f>
        <v>3.0999999999999996</v>
      </c>
      <c r="E84">
        <f>IF(Worksheet!M27&gt;0,Worksheet!AA27+1,0)</f>
        <v>2.4</v>
      </c>
      <c r="F84">
        <f ca="1">IF(Worksheet!M27&gt;0,I55+2,0)</f>
        <v>12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2.8777777777777778</v>
      </c>
      <c r="C85">
        <f>Worksheet!AE28</f>
        <v>3.7777777777777777</v>
      </c>
      <c r="D85">
        <f>IF(Worksheet!AA28&gt;0,(Worksheet!AA28*Worksheet!P28+8)/36,0)</f>
        <v>3.0999999999999996</v>
      </c>
      <c r="E85">
        <f>IF(Worksheet!M28&gt;0,Worksheet!AA28+1,0)</f>
        <v>2.4</v>
      </c>
      <c r="F85">
        <f ca="1">IF(Worksheet!M28&gt;0,I56+2,0)</f>
        <v>12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2.8777777777777778</v>
      </c>
      <c r="C86">
        <f>Worksheet!AE29</f>
        <v>3.7777777777777777</v>
      </c>
      <c r="D86">
        <f>IF(Worksheet!AA29&gt;0,(Worksheet!AA29*Worksheet!P29+8)/36,0)</f>
        <v>3.0999999999999996</v>
      </c>
      <c r="E86">
        <f>IF(Worksheet!M29&gt;0,Worksheet!AA29+1,0)</f>
        <v>2.4</v>
      </c>
      <c r="F86">
        <f ca="1">IF(Worksheet!M29&gt;0,I57+2,0)</f>
        <v>12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2.8777777777777778</v>
      </c>
      <c r="C87">
        <f>Worksheet!AE30</f>
        <v>3.7777777777777777</v>
      </c>
      <c r="D87">
        <f>IF(Worksheet!AA30&gt;0,(Worksheet!AA30*Worksheet!P30+8)/36,0)</f>
        <v>3.0999999999999996</v>
      </c>
      <c r="E87">
        <f>IF(Worksheet!M30&gt;0,Worksheet!AA30+1,0)</f>
        <v>2.4</v>
      </c>
      <c r="F87">
        <f ca="1">IF(Worksheet!M30&gt;0,I58+2,0)</f>
        <v>12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240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 t="str">
        <f>Worksheet!V13</f>
        <v>SKSCM</v>
      </c>
    </row>
    <row r="132" spans="2:2">
      <c r="B132" t="str">
        <f>Worksheet!V14</f>
        <v>SKSCM</v>
      </c>
    </row>
    <row r="133" spans="2:2">
      <c r="B133" t="str">
        <f>Worksheet!V15</f>
        <v>SKSCM</v>
      </c>
    </row>
    <row r="134" spans="2:2">
      <c r="B134" t="str">
        <f>Worksheet!V16</f>
        <v>SKSCM</v>
      </c>
    </row>
    <row r="135" spans="2:2">
      <c r="B135" t="str">
        <f>Worksheet!V17</f>
        <v>SKSCM</v>
      </c>
    </row>
    <row r="136" spans="2:2">
      <c r="B136" t="str">
        <f>Worksheet!V18</f>
        <v>SKSCM</v>
      </c>
    </row>
    <row r="137" spans="2:2">
      <c r="B137" t="str">
        <f>Worksheet!V19</f>
        <v>SKSCM</v>
      </c>
    </row>
    <row r="138" spans="2:2">
      <c r="B138" t="str">
        <f>Worksheet!V20</f>
        <v>SKSCM</v>
      </c>
    </row>
    <row r="139" spans="2:2">
      <c r="B139" t="str">
        <f>Worksheet!V21</f>
        <v>SKSCM</v>
      </c>
    </row>
    <row r="140" spans="2:2">
      <c r="B140" t="str">
        <f>Worksheet!V22</f>
        <v>SKSCM</v>
      </c>
    </row>
    <row r="141" spans="2:2">
      <c r="B141" t="str">
        <f>Worksheet!V23</f>
        <v>SKSCM</v>
      </c>
    </row>
    <row r="142" spans="2:2">
      <c r="B142" t="str">
        <f>Worksheet!V24</f>
        <v>SKSCM</v>
      </c>
    </row>
    <row r="143" spans="2:2">
      <c r="B143" t="str">
        <f>Worksheet!V25</f>
        <v>SKSCM</v>
      </c>
    </row>
    <row r="144" spans="2:2">
      <c r="B144" t="str">
        <f>Worksheet!V26</f>
        <v>SKSCM</v>
      </c>
    </row>
    <row r="145" spans="2:3">
      <c r="B145" t="str">
        <f>Worksheet!V27</f>
        <v>SKSCM</v>
      </c>
    </row>
    <row r="146" spans="2:3">
      <c r="B146" t="str">
        <f>Worksheet!V28</f>
        <v>SKSCM</v>
      </c>
    </row>
    <row r="147" spans="2:3">
      <c r="B147" t="str">
        <f>Worksheet!V29</f>
        <v>SKSCM</v>
      </c>
    </row>
    <row r="148" spans="2:3">
      <c r="B148" t="str">
        <f>Worksheet!V30</f>
        <v>SKSCM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16" t="str">
        <f>IF(F35&gt;0,"FINAL MEASUREMENTS OK"," ")</f>
        <v xml:space="preserve"> </v>
      </c>
      <c r="O1" s="416"/>
      <c r="P1" s="416"/>
      <c r="Q1" s="416"/>
      <c r="R1" s="416"/>
      <c r="S1" s="416"/>
      <c r="T1" s="416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413">
        <f>Worksheet!AR1</f>
        <v>33517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9" t="str">
        <f>Worksheet!D3</f>
        <v>CBRE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20" t="s">
        <v>2532</v>
      </c>
      <c r="Q4" s="420"/>
      <c r="R4" s="417">
        <f>Worksheet!R4</f>
        <v>45823</v>
      </c>
      <c r="S4" s="417"/>
      <c r="T4" s="417"/>
      <c r="U4" s="171"/>
      <c r="V4" s="69" t="s">
        <v>4</v>
      </c>
      <c r="W4" s="388" t="str">
        <f>Worksheet!W4</f>
        <v>Gregory Mill WO#C5364027-00086.01</v>
      </c>
      <c r="X4" s="377"/>
      <c r="Y4" s="207" t="s">
        <v>2297</v>
      </c>
      <c r="Z4" s="211">
        <v>2</v>
      </c>
      <c r="AB4" s="423" t="s">
        <v>2595</v>
      </c>
      <c r="AC4" s="424"/>
      <c r="AD4" s="424"/>
      <c r="AE4" s="424"/>
      <c r="AF4" s="425"/>
      <c r="AG4" s="390" t="s">
        <v>4</v>
      </c>
      <c r="AH4" s="438" t="str">
        <f>W4</f>
        <v>Gregory Mill WO#C5364027-00086.01</v>
      </c>
      <c r="AI4" s="438"/>
      <c r="AJ4" s="438"/>
      <c r="AK4" s="438"/>
      <c r="AM4" s="62"/>
      <c r="AN4" s="67"/>
      <c r="AO4" s="62"/>
      <c r="AP4" s="62"/>
      <c r="AQ4" s="380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35" t="s">
        <v>2498</v>
      </c>
      <c r="BC4" s="435"/>
      <c r="BD4" s="435"/>
      <c r="BE4" s="435"/>
      <c r="BF4" s="435"/>
      <c r="BG4" s="435"/>
      <c r="BH4" s="435"/>
      <c r="BI4" s="435"/>
      <c r="BJ4" s="435"/>
      <c r="BO4" s="196"/>
    </row>
    <row r="5" spans="1:67" s="53" customFormat="1" ht="15.95" customHeight="1">
      <c r="A5" s="198"/>
      <c r="B5" s="64"/>
      <c r="C5" s="57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7"/>
      <c r="Q5" s="57"/>
      <c r="R5" s="57"/>
      <c r="T5" s="57"/>
      <c r="U5" s="57"/>
      <c r="V5" s="66"/>
      <c r="W5" s="376" t="str">
        <f>Worksheet!W5</f>
        <v>316 Mayfield Dr</v>
      </c>
      <c r="X5" s="376"/>
      <c r="Y5" s="376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381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108</v>
      </c>
      <c r="C6" s="57"/>
      <c r="D6" s="350">
        <f>Worksheet!D6</f>
        <v>0</v>
      </c>
      <c r="E6" s="350"/>
      <c r="F6" s="350"/>
      <c r="G6" s="350"/>
      <c r="H6" s="350"/>
      <c r="I6" s="77" t="s">
        <v>109</v>
      </c>
      <c r="J6" s="351">
        <f>Worksheet!J6</f>
        <v>0</v>
      </c>
      <c r="K6" s="351"/>
      <c r="L6" s="351"/>
      <c r="M6" s="351"/>
      <c r="N6" s="351"/>
      <c r="O6" s="351"/>
      <c r="P6" s="57"/>
      <c r="Q6" s="172"/>
      <c r="R6" s="57"/>
      <c r="S6" s="57"/>
      <c r="T6" s="171"/>
      <c r="U6" s="75"/>
      <c r="V6" s="66"/>
      <c r="W6" s="376" t="str">
        <f>Worksheet!W6</f>
        <v>Smyrna, TN 37167</v>
      </c>
      <c r="X6" s="376"/>
      <c r="Y6" s="376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376">
        <f>Worksheet!D7</f>
        <v>0</v>
      </c>
      <c r="E7" s="376"/>
      <c r="F7" s="376"/>
      <c r="G7" s="376"/>
      <c r="H7" s="376"/>
      <c r="I7" s="77" t="s">
        <v>111</v>
      </c>
      <c r="J7" s="351">
        <f>Worksheet!J7</f>
        <v>0</v>
      </c>
      <c r="K7" s="351"/>
      <c r="L7" s="351"/>
      <c r="M7" s="351"/>
      <c r="N7" s="351"/>
      <c r="O7" s="351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Box#6051 Back Door</v>
      </c>
      <c r="X7" s="163"/>
      <c r="Y7" s="163"/>
      <c r="Z7" s="66"/>
      <c r="AD7" s="304" t="s">
        <v>2594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67</v>
      </c>
      <c r="AK8" s="440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18" t="s">
        <v>127</v>
      </c>
      <c r="AI9" s="418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19"/>
      <c r="AI10" s="419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4">
        <f>IF(D11+E11&gt;0,IF(F11&gt;"u",0,IF(BA11="RR","RR",+BB11)),0)</f>
        <v>0</v>
      </c>
      <c r="R11" s="353" t="str">
        <f t="shared" ref="R11:R30" si="2">IF($C11&gt;0,VLOOKUP($X11,$BK$28:$BL$40,2,FALSE)," ")</f>
        <v xml:space="preserve"> </v>
      </c>
      <c r="S11" s="355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62">
        <f t="shared" ref="AA11:AA30" si="4">IF(D11+E11&gt;0,IF(F11&gt;"u",0,IF(BA11="RR","RR",ROUND(BA11,1))),0)</f>
        <v>0</v>
      </c>
      <c r="AB11" s="357">
        <f t="shared" ref="AB11:AB30" si="5">IF(D11+E11&gt;0,IF(P11&gt;75,BD11,+BC11),0)</f>
        <v>0</v>
      </c>
      <c r="AC11" s="358">
        <f t="shared" ref="AC11:AC30" si="6">IF(D11+E11&gt;0,IF(P11&gt;75,BI11,BE11),0)</f>
        <v>0</v>
      </c>
      <c r="AD11" s="359" t="str">
        <f t="shared" ref="AD11:AD30" si="7">IF($C11&gt;0,ROUNDUP((($K11+$M11)/25),0)," ")</f>
        <v xml:space="preserve"> </v>
      </c>
      <c r="AE11" s="368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4">
        <f t="shared" ref="Q12:Q30" si="29">IF(D12+E12&gt;0,IF(F12&gt;"u",0,IF(BA12="RR","RR",+BB12)),0)</f>
        <v>0</v>
      </c>
      <c r="R12" s="250" t="str">
        <f t="shared" si="2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62">
        <f t="shared" si="4"/>
        <v>0</v>
      </c>
      <c r="AB12" s="357">
        <f t="shared" si="5"/>
        <v>0</v>
      </c>
      <c r="AC12" s="358">
        <f t="shared" si="6"/>
        <v>0</v>
      </c>
      <c r="AD12" s="359" t="str">
        <f t="shared" si="7"/>
        <v xml:space="preserve"> </v>
      </c>
      <c r="AE12" s="368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4">
        <f t="shared" si="29"/>
        <v>0</v>
      </c>
      <c r="R13" s="250" t="str">
        <f t="shared" si="2"/>
        <v xml:space="preserve"> </v>
      </c>
      <c r="S13" s="355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62">
        <f t="shared" si="4"/>
        <v>0</v>
      </c>
      <c r="AB13" s="357">
        <f t="shared" si="5"/>
        <v>0</v>
      </c>
      <c r="AC13" s="358">
        <f t="shared" si="6"/>
        <v>0</v>
      </c>
      <c r="AD13" s="359" t="str">
        <f t="shared" si="7"/>
        <v xml:space="preserve"> </v>
      </c>
      <c r="AE13" s="368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4">
        <f t="shared" si="29"/>
        <v>0</v>
      </c>
      <c r="R14" s="250" t="str">
        <f t="shared" si="2"/>
        <v xml:space="preserve"> </v>
      </c>
      <c r="S14" s="355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62">
        <f t="shared" si="4"/>
        <v>0</v>
      </c>
      <c r="AB14" s="357">
        <f t="shared" si="5"/>
        <v>0</v>
      </c>
      <c r="AC14" s="358">
        <f t="shared" si="6"/>
        <v>0</v>
      </c>
      <c r="AD14" s="359" t="str">
        <f t="shared" si="7"/>
        <v xml:space="preserve"> </v>
      </c>
      <c r="AE14" s="368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4">
        <f t="shared" si="29"/>
        <v>0</v>
      </c>
      <c r="R15" s="250" t="str">
        <f t="shared" si="2"/>
        <v xml:space="preserve"> </v>
      </c>
      <c r="S15" s="355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62">
        <f t="shared" si="4"/>
        <v>0</v>
      </c>
      <c r="AB15" s="357">
        <f t="shared" si="5"/>
        <v>0</v>
      </c>
      <c r="AC15" s="358">
        <f t="shared" si="6"/>
        <v>0</v>
      </c>
      <c r="AD15" s="359" t="str">
        <f t="shared" si="7"/>
        <v xml:space="preserve"> </v>
      </c>
      <c r="AE15" s="368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4">
        <f t="shared" si="29"/>
        <v>0</v>
      </c>
      <c r="R16" s="250" t="str">
        <f t="shared" si="2"/>
        <v xml:space="preserve"> </v>
      </c>
      <c r="S16" s="355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62">
        <f t="shared" si="4"/>
        <v>0</v>
      </c>
      <c r="AB16" s="357">
        <f t="shared" si="5"/>
        <v>0</v>
      </c>
      <c r="AC16" s="358">
        <f t="shared" si="6"/>
        <v>0</v>
      </c>
      <c r="AD16" s="359" t="str">
        <f t="shared" si="7"/>
        <v xml:space="preserve"> </v>
      </c>
      <c r="AE16" s="368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4">
        <f t="shared" si="29"/>
        <v>0</v>
      </c>
      <c r="R17" s="250" t="str">
        <f t="shared" si="2"/>
        <v xml:space="preserve"> </v>
      </c>
      <c r="S17" s="355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62">
        <f t="shared" si="4"/>
        <v>0</v>
      </c>
      <c r="AB17" s="357">
        <f t="shared" si="5"/>
        <v>0</v>
      </c>
      <c r="AC17" s="358">
        <f t="shared" si="6"/>
        <v>0</v>
      </c>
      <c r="AD17" s="359" t="str">
        <f t="shared" si="7"/>
        <v xml:space="preserve"> </v>
      </c>
      <c r="AE17" s="368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4">
        <f t="shared" si="29"/>
        <v>0</v>
      </c>
      <c r="R18" s="250" t="str">
        <f t="shared" si="2"/>
        <v xml:space="preserve"> </v>
      </c>
      <c r="S18" s="355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62">
        <f t="shared" si="4"/>
        <v>0</v>
      </c>
      <c r="AB18" s="357">
        <f t="shared" si="5"/>
        <v>0</v>
      </c>
      <c r="AC18" s="358">
        <f t="shared" si="6"/>
        <v>0</v>
      </c>
      <c r="AD18" s="359" t="str">
        <f t="shared" si="7"/>
        <v xml:space="preserve"> </v>
      </c>
      <c r="AE18" s="368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4">
        <f t="shared" si="29"/>
        <v>0</v>
      </c>
      <c r="R19" s="250" t="str">
        <f t="shared" si="2"/>
        <v xml:space="preserve"> </v>
      </c>
      <c r="S19" s="355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62">
        <f t="shared" si="4"/>
        <v>0</v>
      </c>
      <c r="AB19" s="357">
        <f t="shared" si="5"/>
        <v>0</v>
      </c>
      <c r="AC19" s="358">
        <f t="shared" si="6"/>
        <v>0</v>
      </c>
      <c r="AD19" s="359" t="str">
        <f t="shared" si="7"/>
        <v xml:space="preserve"> </v>
      </c>
      <c r="AE19" s="368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4">
        <f t="shared" si="29"/>
        <v>0</v>
      </c>
      <c r="R20" s="250" t="str">
        <f t="shared" si="2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2">
        <f t="shared" si="4"/>
        <v>0</v>
      </c>
      <c r="AB20" s="357">
        <f t="shared" si="5"/>
        <v>0</v>
      </c>
      <c r="AC20" s="358">
        <f t="shared" si="6"/>
        <v>0</v>
      </c>
      <c r="AD20" s="359" t="str">
        <f t="shared" si="7"/>
        <v xml:space="preserve"> </v>
      </c>
      <c r="AE20" s="368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4">
        <f t="shared" si="29"/>
        <v>0</v>
      </c>
      <c r="R21" s="250" t="str">
        <f t="shared" si="2"/>
        <v xml:space="preserve"> </v>
      </c>
      <c r="S21" s="355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4">
        <f t="shared" si="29"/>
        <v>0</v>
      </c>
      <c r="R22" s="250" t="str">
        <f t="shared" si="2"/>
        <v xml:space="preserve"> </v>
      </c>
      <c r="S22" s="355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4">
        <f t="shared" si="29"/>
        <v>0</v>
      </c>
      <c r="R23" s="250" t="str">
        <f t="shared" si="2"/>
        <v xml:space="preserve"> </v>
      </c>
      <c r="S23" s="355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4">
        <f t="shared" si="29"/>
        <v>0</v>
      </c>
      <c r="R24" s="250" t="str">
        <f t="shared" si="2"/>
        <v xml:space="preserve"> </v>
      </c>
      <c r="S24" s="355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4">
        <f t="shared" si="29"/>
        <v>0</v>
      </c>
      <c r="R25" s="250" t="str">
        <f t="shared" si="2"/>
        <v xml:space="preserve"> </v>
      </c>
      <c r="S25" s="355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4">
        <f t="shared" si="29"/>
        <v>0</v>
      </c>
      <c r="R26" s="250" t="str">
        <f t="shared" si="2"/>
        <v xml:space="preserve"> </v>
      </c>
      <c r="S26" s="355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4">
        <f t="shared" si="29"/>
        <v>0</v>
      </c>
      <c r="R27" s="250" t="str">
        <f t="shared" si="2"/>
        <v xml:space="preserve"> </v>
      </c>
      <c r="S27" s="355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4">
        <f t="shared" si="29"/>
        <v>0</v>
      </c>
      <c r="R28" s="250" t="str">
        <f t="shared" si="2"/>
        <v xml:space="preserve"> </v>
      </c>
      <c r="S28" s="355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4">
        <f t="shared" si="29"/>
        <v>0</v>
      </c>
      <c r="R29" s="250" t="str">
        <f t="shared" si="2"/>
        <v xml:space="preserve"> </v>
      </c>
      <c r="S29" s="355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4">
        <f t="shared" si="29"/>
        <v>0</v>
      </c>
      <c r="R30" s="250" t="str">
        <f t="shared" si="2"/>
        <v xml:space="preserve"> </v>
      </c>
      <c r="S30" s="355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0</v>
      </c>
      <c r="AD31" s="361"/>
      <c r="AE31" s="356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6"/>
    </row>
    <row r="32" spans="1:67" s="53" customFormat="1" ht="18" customHeight="1">
      <c r="A32" s="198"/>
      <c r="B32" s="178" t="s">
        <v>2554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/>
      <c r="W32" s="66"/>
      <c r="X32" s="66"/>
      <c r="Y32" s="303"/>
      <c r="Z32" s="149"/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5"/>
      <c r="AP32" s="64"/>
      <c r="AQ32" s="43"/>
      <c r="AR32" s="386"/>
      <c r="AS32" s="185"/>
      <c r="BK32" s="156" t="s">
        <v>2550</v>
      </c>
      <c r="BL32" s="157">
        <v>54</v>
      </c>
      <c r="BO32" s="196"/>
    </row>
    <row r="33" spans="1:67" s="53" customFormat="1" ht="15.95" customHeight="1" thickBot="1">
      <c r="A33" s="198"/>
      <c r="B33" s="379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3"/>
      <c r="Z33" s="149"/>
      <c r="AA33" s="43"/>
      <c r="AB33" s="441"/>
      <c r="AE33" s="66"/>
      <c r="AF33" s="43"/>
      <c r="AK33" s="46"/>
      <c r="AL33" s="66"/>
      <c r="AM33" s="383"/>
      <c r="AN33" s="136"/>
      <c r="AO33" s="64"/>
      <c r="AP33" s="387" t="s">
        <v>2592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9"/>
      <c r="C34" s="43"/>
      <c r="D34" s="149"/>
      <c r="E34" s="43"/>
      <c r="F34" s="66"/>
      <c r="G34" s="57"/>
      <c r="H34" s="80"/>
      <c r="N34" s="304" t="s">
        <v>2553</v>
      </c>
      <c r="O34" s="342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379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8"/>
      <c r="AG37" s="46"/>
      <c r="AJ37" s="66"/>
      <c r="AK37" s="66"/>
      <c r="AN37" s="382"/>
      <c r="AO37" s="64"/>
      <c r="AP37" s="64"/>
      <c r="AR37" s="187"/>
      <c r="AS37" s="186"/>
      <c r="AT37" s="198"/>
      <c r="AX37" s="64"/>
      <c r="BK37" s="156" t="s">
        <v>134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4"/>
      <c r="AP38" s="384"/>
      <c r="AR38" s="188"/>
      <c r="AS38" s="188"/>
      <c r="AX38" s="64"/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2">
        <f>SUM(Q11:Q30)</f>
        <v>0</v>
      </c>
      <c r="S43" s="352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Gregory Mill WO#C5364027-00086.01</v>
      </c>
      <c r="E1" s="22"/>
      <c r="F1" s="23"/>
      <c r="G1" s="22"/>
      <c r="H1" s="24"/>
      <c r="I1" s="25">
        <f>+'Worksheet 2'!$AR$1</f>
        <v>33517</v>
      </c>
      <c r="J1" s="26"/>
      <c r="L1" s="164" t="s">
        <v>113</v>
      </c>
      <c r="M1" s="21" t="str">
        <f>+'Worksheet 2'!$W$4</f>
        <v>Gregory Mill WO#C5364027-00086.01</v>
      </c>
      <c r="N1" s="22"/>
      <c r="O1" s="23"/>
      <c r="P1" s="22"/>
      <c r="Q1" s="24"/>
      <c r="R1" s="25">
        <f>+'Worksheet 2'!$AR$1</f>
        <v>33517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9">
        <f ca="1">H2+15</f>
        <v>15</v>
      </c>
      <c r="G3" s="447" cm="1">
        <f t="array" aca="1" ref="G3" ca="1">INDIRECT("'Worksheet 2'!$Y"&amp;$B1)</f>
        <v>0</v>
      </c>
      <c r="H3" s="447"/>
      <c r="I3" s="448"/>
      <c r="L3" s="164" t="s">
        <v>121</v>
      </c>
      <c r="M3" t="b">
        <f t="shared" ca="1" si="0"/>
        <v>0</v>
      </c>
      <c r="N3" s="19" t="s">
        <v>122</v>
      </c>
      <c r="O3" s="369">
        <f ca="1">F3</f>
        <v>15</v>
      </c>
      <c r="P3" s="449">
        <f ca="1">G3</f>
        <v>0</v>
      </c>
      <c r="Q3" s="449"/>
      <c r="R3" s="450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0"/>
      <c r="G4" s="447"/>
      <c r="H4" s="447"/>
      <c r="I4" s="448"/>
      <c r="L4" s="166"/>
      <c r="M4" s="161" t="b">
        <f t="shared" ca="1" si="0"/>
        <v>0</v>
      </c>
      <c r="N4" s="42" t="s">
        <v>41</v>
      </c>
      <c r="O4" s="370"/>
      <c r="P4" s="449"/>
      <c r="Q4" s="451"/>
      <c r="R4" s="452"/>
    </row>
    <row r="5" spans="1:18" ht="15.75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9" t="str">
        <f ca="1">IF(D9="YES",H2+12," ")</f>
        <v xml:space="preserve"> </v>
      </c>
      <c r="H5" s="343" t="s">
        <v>10</v>
      </c>
      <c r="I5" s="371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9" t="str">
        <f ca="1">F5</f>
        <v xml:space="preserve"> </v>
      </c>
      <c r="P5" s="19"/>
      <c r="Q5" s="343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0</v>
      </c>
      <c r="L6" s="167"/>
      <c r="M6" s="344" t="str">
        <f t="shared" ca="1" si="0"/>
        <v xml:space="preserve"> </v>
      </c>
      <c r="N6" s="345" t="s">
        <v>41</v>
      </c>
      <c r="O6" s="372"/>
      <c r="P6" s="20"/>
      <c r="Q6" s="343" t="s">
        <v>116</v>
      </c>
      <c r="R6" s="32">
        <f ca="1">I6</f>
        <v>0</v>
      </c>
    </row>
    <row r="7" spans="1:18" ht="15" customHeight="1">
      <c r="C7" s="168" t="s">
        <v>114</v>
      </c>
      <c r="D7" s="373" cm="1">
        <f t="array" aca="1" ref="D7" ca="1">INDIRECT("'Worksheet 2'!$B"&amp;$B1)</f>
        <v>0</v>
      </c>
      <c r="E7" s="22"/>
      <c r="F7" s="23"/>
      <c r="G7" s="22"/>
      <c r="H7" s="24"/>
      <c r="I7" s="444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44" t="str">
        <f ca="1">I7</f>
        <v>P2-21</v>
      </c>
    </row>
    <row r="8" spans="1:18" ht="15.75" customHeight="1">
      <c r="C8" s="164" t="s">
        <v>117</v>
      </c>
      <c r="D8" s="346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45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45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7" cm="1">
        <f t="array" aca="1" ref="E9" ca="1">INDIRECT("'Worksheet 2'!$X"&amp;$B1)</f>
        <v>0</v>
      </c>
      <c r="F9" s="39"/>
      <c r="G9" s="20"/>
      <c r="H9" s="347" t="str" cm="1">
        <f t="array" aca="1" ref="H9" ca="1">INDIRECT("'Worksheet 2'!$R"&amp;$B1)</f>
        <v xml:space="preserve"> </v>
      </c>
      <c r="I9" s="445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5"/>
    </row>
    <row r="10" spans="1:18" ht="15.75" customHeight="1">
      <c r="C10" s="164" t="s">
        <v>13</v>
      </c>
      <c r="D10" s="347" cm="1">
        <f t="array" aca="1" ref="D10" ca="1">INDIRECT("'Worksheet 2'!$W"&amp;$B1)</f>
        <v>0</v>
      </c>
      <c r="E10" s="22"/>
      <c r="F10" s="23"/>
      <c r="G10" s="22"/>
      <c r="H10" s="347" t="str" cm="1">
        <f t="array" aca="1" ref="H10" ca="1">INDIRECT("'Worksheet 2'!$P"&amp;$B1)</f>
        <v xml:space="preserve"> </v>
      </c>
      <c r="I10" s="446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46"/>
    </row>
    <row r="11" spans="1:18" ht="23.25">
      <c r="C11" s="348" cm="1">
        <f t="array" aca="1" ref="C11" ca="1">INDIRECT("'Worksheet 2'!$J"&amp;$B1)</f>
        <v>0</v>
      </c>
      <c r="D11" s="443" t="b" cm="1">
        <f t="array" aca="1" ref="D11" ca="1">IF(INDIRECT("'Worksheet 2'!$D"&amp;$B1)=1, "Left of Pair", IF(INDIRECT("'Worksheet 2'!$E"&amp;$B1)=1, "Panel"))</f>
        <v>0</v>
      </c>
      <c r="E11" s="443"/>
      <c r="F11" s="443"/>
      <c r="G11" s="374"/>
      <c r="H11" s="374" t="str" cm="1">
        <f t="array" aca="1" ref="H11" ca="1">IF(INDIRECT("'Worksheet 2'!$F"&amp;$B1)="st","SOR T&amp;B"," ")</f>
        <v xml:space="preserve"> </v>
      </c>
      <c r="I11" s="375"/>
      <c r="L11" s="41">
        <f ca="1">$C11</f>
        <v>0</v>
      </c>
      <c r="M11" s="443" t="b" cm="1">
        <f t="array" aca="1" ref="M11" ca="1">IF(INDIRECT("'Worksheet 2'!$D"&amp;$B1)=1, "Right of Pair", IF(INDIRECT("'Worksheet 2'!$E"&amp;$B1)=1, "Do Not Use"))</f>
        <v>0</v>
      </c>
      <c r="N11" s="443"/>
      <c r="O11" s="443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Gregory Mill WO#C5364027-00086.01</v>
      </c>
      <c r="E15" s="22"/>
      <c r="F15" s="23"/>
      <c r="G15" s="22"/>
      <c r="H15" s="24"/>
      <c r="I15" s="25">
        <f>+'Worksheet 2'!$AR$1</f>
        <v>33517</v>
      </c>
      <c r="J15" s="26"/>
      <c r="L15" s="164" t="s">
        <v>113</v>
      </c>
      <c r="M15" s="21" t="str">
        <f>+'Worksheet 2'!$W$4</f>
        <v>Gregory Mill WO#C5364027-00086.01</v>
      </c>
      <c r="N15" s="22"/>
      <c r="O15" s="23"/>
      <c r="P15" s="22"/>
      <c r="Q15" s="24"/>
      <c r="R15" s="25">
        <f>+'Worksheet 2'!$AR$1</f>
        <v>33517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15</v>
      </c>
      <c r="G17" s="447" cm="1">
        <f t="array" aca="1" ref="G17" ca="1">INDIRECT("'Worksheet 2'!$Y"&amp;$B15)</f>
        <v>0</v>
      </c>
      <c r="H17" s="447"/>
      <c r="I17" s="448"/>
      <c r="L17" s="164" t="s">
        <v>121</v>
      </c>
      <c r="M17" t="b">
        <f t="shared" ca="1" si="1"/>
        <v>0</v>
      </c>
      <c r="N17" s="19" t="s">
        <v>122</v>
      </c>
      <c r="O17" s="369">
        <f ca="1">F17</f>
        <v>15</v>
      </c>
      <c r="P17" s="449">
        <f ca="1">G17</f>
        <v>0</v>
      </c>
      <c r="Q17" s="449"/>
      <c r="R17" s="450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0"/>
      <c r="G18" s="447"/>
      <c r="H18" s="447"/>
      <c r="I18" s="448"/>
      <c r="L18" s="166"/>
      <c r="M18" s="161" t="b">
        <f t="shared" ca="1" si="1"/>
        <v>0</v>
      </c>
      <c r="N18" s="42" t="s">
        <v>41</v>
      </c>
      <c r="O18" s="370"/>
      <c r="P18" s="449"/>
      <c r="Q18" s="451"/>
      <c r="R18" s="452"/>
    </row>
    <row r="19" spans="1:18" ht="15.75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0</v>
      </c>
      <c r="L20" s="167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0</v>
      </c>
    </row>
    <row r="21" spans="1:18" ht="12.75" customHeight="1">
      <c r="C21" s="168" t="s">
        <v>114</v>
      </c>
      <c r="D21" s="373" cm="1">
        <f t="array" aca="1" ref="D21" ca="1">INDIRECT("'Worksheet 2'!$B"&amp;$B15)</f>
        <v>0</v>
      </c>
      <c r="E21" s="22"/>
      <c r="F21" s="23"/>
      <c r="G21" s="22"/>
      <c r="H21" s="24"/>
      <c r="I21" s="444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44" t="str">
        <f ca="1">I21</f>
        <v>P2-22</v>
      </c>
    </row>
    <row r="22" spans="1:18" ht="15.75" customHeight="1">
      <c r="C22" s="164" t="s">
        <v>117</v>
      </c>
      <c r="D22" s="346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45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45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7" cm="1">
        <f t="array" aca="1" ref="E23" ca="1">INDIRECT("'Worksheet 2'!$X"&amp;$B15)</f>
        <v>0</v>
      </c>
      <c r="F23" s="39"/>
      <c r="G23" s="20"/>
      <c r="H23" s="347" t="str" cm="1">
        <f t="array" aca="1" ref="H23" ca="1">INDIRECT("'Worksheet 2'!$R"&amp;$B15)</f>
        <v xml:space="preserve"> </v>
      </c>
      <c r="I23" s="445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5"/>
    </row>
    <row r="24" spans="1:18" ht="15.75" customHeight="1">
      <c r="C24" s="164" t="s">
        <v>13</v>
      </c>
      <c r="D24" s="347" cm="1">
        <f t="array" aca="1" ref="D24" ca="1">INDIRECT("'Worksheet 2'!$W"&amp;$B15)</f>
        <v>0</v>
      </c>
      <c r="E24" s="22"/>
      <c r="F24" s="23"/>
      <c r="G24" s="22"/>
      <c r="H24" s="347" t="str" cm="1">
        <f t="array" aca="1" ref="H24" ca="1">INDIRECT("'Worksheet 2'!$P"&amp;$B15)</f>
        <v xml:space="preserve"> </v>
      </c>
      <c r="I24" s="446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46"/>
    </row>
    <row r="25" spans="1:18" ht="23.25">
      <c r="C25" s="348" cm="1">
        <f t="array" aca="1" ref="C25" ca="1">INDIRECT("'Worksheet 2'!$J"&amp;$B15)</f>
        <v>0</v>
      </c>
      <c r="D25" s="443" t="b" cm="1">
        <f t="array" aca="1" ref="D25" ca="1">IF(INDIRECT("'Worksheet 2'!$D"&amp;$B15)=1, "Left of Pair", IF(INDIRECT("'Worksheet 2'!$E"&amp;$B15)=1, "Panel"))</f>
        <v>0</v>
      </c>
      <c r="E25" s="443"/>
      <c r="F25" s="443"/>
      <c r="G25" s="374"/>
      <c r="H25" s="374" t="str" cm="1">
        <f t="array" aca="1" ref="H25" ca="1">IF(INDIRECT("'Worksheet 2'!$F"&amp;$B15)="st","SOR T&amp;B"," ")</f>
        <v xml:space="preserve"> </v>
      </c>
      <c r="I25" s="375"/>
      <c r="L25" s="41">
        <f ca="1">$C25</f>
        <v>0</v>
      </c>
      <c r="M25" s="443" t="b" cm="1">
        <f t="array" aca="1" ref="M25" ca="1">IF(INDIRECT("'Worksheet 2'!$D"&amp;$B15)=1, "Right of Pair", IF(INDIRECT("'Worksheet 2'!$E"&amp;$B15)=1, "Do Not Use"))</f>
        <v>0</v>
      </c>
      <c r="N25" s="443"/>
      <c r="O25" s="443"/>
      <c r="P25" s="374"/>
      <c r="Q25" s="374"/>
      <c r="R25" s="375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+'Worksheet 2'!$W$4</f>
        <v>Gregory Mill WO#C5364027-00086.01</v>
      </c>
      <c r="E29" s="22"/>
      <c r="F29" s="23"/>
      <c r="G29" s="22"/>
      <c r="H29" s="24"/>
      <c r="I29" s="25">
        <f>+'Worksheet 2'!$AR$1</f>
        <v>33517</v>
      </c>
      <c r="J29" s="26"/>
      <c r="L29" s="164" t="s">
        <v>113</v>
      </c>
      <c r="M29" s="21" t="str">
        <f>+'Worksheet 2'!$W$4</f>
        <v>Gregory Mill WO#C5364027-00086.01</v>
      </c>
      <c r="N29" s="22"/>
      <c r="O29" s="23"/>
      <c r="P29" s="22"/>
      <c r="Q29" s="24"/>
      <c r="R29" s="25">
        <f>+'Worksheet 2'!$AR$1</f>
        <v>33517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15</v>
      </c>
      <c r="G31" s="447" cm="1">
        <f t="array" aca="1" ref="G31" ca="1">INDIRECT("'Worksheet 2'!$Y"&amp;$B29)</f>
        <v>0</v>
      </c>
      <c r="H31" s="447"/>
      <c r="I31" s="448"/>
      <c r="L31" s="164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9">
        <f ca="1">G31</f>
        <v>0</v>
      </c>
      <c r="Q31" s="449"/>
      <c r="R31" s="450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0"/>
      <c r="G32" s="447"/>
      <c r="H32" s="447"/>
      <c r="I32" s="448"/>
      <c r="L32" s="166"/>
      <c r="M32" s="161" t="b">
        <f t="shared" ca="1" si="2"/>
        <v>0</v>
      </c>
      <c r="N32" s="42" t="s">
        <v>41</v>
      </c>
      <c r="O32" s="370"/>
      <c r="P32" s="449"/>
      <c r="Q32" s="451"/>
      <c r="R32" s="452"/>
    </row>
    <row r="33" spans="1:18" ht="15.75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0</v>
      </c>
      <c r="L34" s="167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0</v>
      </c>
    </row>
    <row r="35" spans="1:18" ht="12.75" customHeight="1">
      <c r="C35" s="168" t="s">
        <v>114</v>
      </c>
      <c r="D35" s="373" cm="1">
        <f t="array" aca="1" ref="D35" ca="1">INDIRECT("'Worksheet 2'!$B"&amp;$B29)</f>
        <v>0</v>
      </c>
      <c r="E35" s="22"/>
      <c r="F35" s="23"/>
      <c r="G35" s="22"/>
      <c r="H35" s="24"/>
      <c r="I35" s="444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44" t="str">
        <f ca="1">I35</f>
        <v>P2-23</v>
      </c>
    </row>
    <row r="36" spans="1:18" ht="15.75" customHeight="1">
      <c r="C36" s="164" t="s">
        <v>117</v>
      </c>
      <c r="D36" s="346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45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45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7" cm="1">
        <f t="array" aca="1" ref="E37" ca="1">INDIRECT("'Worksheet 2'!$X"&amp;$B29)</f>
        <v>0</v>
      </c>
      <c r="F37" s="39"/>
      <c r="G37" s="20"/>
      <c r="H37" s="347" t="str" cm="1">
        <f t="array" aca="1" ref="H37" ca="1">INDIRECT("'Worksheet 2'!$R"&amp;$B29)</f>
        <v xml:space="preserve"> </v>
      </c>
      <c r="I37" s="445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5"/>
    </row>
    <row r="38" spans="1:18" ht="15.75" customHeight="1">
      <c r="C38" s="164" t="s">
        <v>13</v>
      </c>
      <c r="D38" s="347" cm="1">
        <f t="array" aca="1" ref="D38" ca="1">INDIRECT("'Worksheet 2'!$W"&amp;$B29)</f>
        <v>0</v>
      </c>
      <c r="E38" s="22"/>
      <c r="F38" s="23"/>
      <c r="G38" s="22"/>
      <c r="H38" s="347" t="str" cm="1">
        <f t="array" aca="1" ref="H38" ca="1">INDIRECT("'Worksheet 2'!$P"&amp;$B29)</f>
        <v xml:space="preserve"> </v>
      </c>
      <c r="I38" s="446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46"/>
    </row>
    <row r="39" spans="1:18" ht="20.25" customHeight="1">
      <c r="C39" s="348" cm="1">
        <f t="array" aca="1" ref="C39" ca="1">INDIRECT("'Worksheet 2'!$J"&amp;$B29)</f>
        <v>0</v>
      </c>
      <c r="D39" s="443" t="b" cm="1">
        <f t="array" aca="1" ref="D39" ca="1">IF(INDIRECT("'Worksheet 2'!$D"&amp;$B29)=1, "Left of Pair", IF(INDIRECT("'Worksheet 2'!$E"&amp;$B29)=1, "Panel"))</f>
        <v>0</v>
      </c>
      <c r="E39" s="443"/>
      <c r="F39" s="443"/>
      <c r="G39" s="374"/>
      <c r="H39" s="374" t="str" cm="1">
        <f t="array" aca="1" ref="H39" ca="1">IF(INDIRECT("'Worksheet 2'!$F"&amp;$B29)="st","SOR T&amp;B"," ")</f>
        <v xml:space="preserve"> </v>
      </c>
      <c r="I39" s="375"/>
      <c r="L39" s="41">
        <f ca="1">$C39</f>
        <v>0</v>
      </c>
      <c r="M39" s="443" t="b" cm="1">
        <f t="array" aca="1" ref="M39" ca="1">IF(INDIRECT("'Worksheet 2'!$D"&amp;$B29)=1, "Right of Pair", IF(INDIRECT("'Worksheet 2'!$E"&amp;$B29)=1, "Do Not Use"))</f>
        <v>0</v>
      </c>
      <c r="N39" s="443"/>
      <c r="O39" s="443"/>
      <c r="P39" s="374"/>
      <c r="Q39" s="374"/>
      <c r="R39" s="375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+'Worksheet 2'!$W$4</f>
        <v>Gregory Mill WO#C5364027-00086.01</v>
      </c>
      <c r="E43" s="22"/>
      <c r="F43" s="23"/>
      <c r="G43" s="22"/>
      <c r="H43" s="24"/>
      <c r="I43" s="25">
        <f>+'Worksheet 2'!$AR$1</f>
        <v>33517</v>
      </c>
      <c r="J43" s="26"/>
      <c r="L43" s="164" t="s">
        <v>113</v>
      </c>
      <c r="M43" s="21" t="str">
        <f>+'Worksheet 2'!$W$4</f>
        <v>Gregory Mill WO#C5364027-00086.01</v>
      </c>
      <c r="N43" s="22"/>
      <c r="O43" s="23"/>
      <c r="P43" s="22"/>
      <c r="Q43" s="24"/>
      <c r="R43" s="25">
        <f>+'Worksheet 2'!$AR$1</f>
        <v>33517</v>
      </c>
    </row>
    <row r="44" spans="1:18" ht="32.25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15</v>
      </c>
      <c r="G45" s="447" cm="1">
        <f t="array" aca="1" ref="G45" ca="1">INDIRECT("'Worksheet 2'!$Y"&amp;$B43)</f>
        <v>0</v>
      </c>
      <c r="H45" s="447"/>
      <c r="I45" s="448"/>
      <c r="L45" s="164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9">
        <f ca="1">G45</f>
        <v>0</v>
      </c>
      <c r="Q45" s="449"/>
      <c r="R45" s="450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0"/>
      <c r="G46" s="447"/>
      <c r="H46" s="447"/>
      <c r="I46" s="448"/>
      <c r="L46" s="166"/>
      <c r="M46" s="161" t="b">
        <f t="shared" ca="1" si="3"/>
        <v>0</v>
      </c>
      <c r="N46" s="42" t="s">
        <v>41</v>
      </c>
      <c r="O46" s="370"/>
      <c r="P46" s="449"/>
      <c r="Q46" s="451"/>
      <c r="R46" s="452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0</v>
      </c>
      <c r="L48" s="167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0</v>
      </c>
    </row>
    <row r="49" spans="1:18" ht="12.75" customHeight="1">
      <c r="C49" s="168" t="s">
        <v>114</v>
      </c>
      <c r="D49" s="373" cm="1">
        <f t="array" aca="1" ref="D49" ca="1">INDIRECT("'Worksheet 2'!$B"&amp;$B43)</f>
        <v>0</v>
      </c>
      <c r="E49" s="22"/>
      <c r="F49" s="23"/>
      <c r="G49" s="22"/>
      <c r="H49" s="24"/>
      <c r="I49" s="444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44" t="str">
        <f ca="1">I49</f>
        <v>P2-24</v>
      </c>
    </row>
    <row r="50" spans="1:18" ht="15.75" customHeight="1">
      <c r="C50" s="164" t="s">
        <v>117</v>
      </c>
      <c r="D50" s="346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45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45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7" cm="1">
        <f t="array" aca="1" ref="E51" ca="1">INDIRECT("'Worksheet 2'!$X"&amp;$B43)</f>
        <v>0</v>
      </c>
      <c r="F51" s="39"/>
      <c r="G51" s="20"/>
      <c r="H51" s="347" t="str" cm="1">
        <f t="array" aca="1" ref="H51" ca="1">INDIRECT("'Worksheet 2'!$R"&amp;$B43)</f>
        <v xml:space="preserve"> </v>
      </c>
      <c r="I51" s="445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5"/>
    </row>
    <row r="52" spans="1:18" ht="15.75" customHeight="1">
      <c r="C52" s="164" t="s">
        <v>13</v>
      </c>
      <c r="D52" s="347" cm="1">
        <f t="array" aca="1" ref="D52" ca="1">INDIRECT("'Worksheet 2'!$W"&amp;$B43)</f>
        <v>0</v>
      </c>
      <c r="E52" s="22"/>
      <c r="F52" s="23"/>
      <c r="G52" s="22"/>
      <c r="H52" s="347" t="str" cm="1">
        <f t="array" aca="1" ref="H52" ca="1">INDIRECT("'Worksheet 2'!$P"&amp;$B43)</f>
        <v xml:space="preserve"> </v>
      </c>
      <c r="I52" s="446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46"/>
    </row>
    <row r="53" spans="1:18" ht="23.25">
      <c r="C53" s="348" cm="1">
        <f t="array" aca="1" ref="C53" ca="1">INDIRECT("'Worksheet 2'!$J"&amp;$B43)</f>
        <v>0</v>
      </c>
      <c r="D53" s="443" t="b" cm="1">
        <f t="array" aca="1" ref="D53" ca="1">IF(INDIRECT("'Worksheet 2'!$D"&amp;$B43)=1, "Left of Pair", IF(INDIRECT("'Worksheet 2'!$E"&amp;$B43)=1, "Panel"))</f>
        <v>0</v>
      </c>
      <c r="E53" s="443"/>
      <c r="F53" s="443"/>
      <c r="G53" s="374"/>
      <c r="H53" s="374" t="str" cm="1">
        <f t="array" aca="1" ref="H53" ca="1">IF(INDIRECT("'Worksheet 2'!$F"&amp;$B43)="st","SOR T&amp;B"," ")</f>
        <v xml:space="preserve"> </v>
      </c>
      <c r="I53" s="375"/>
      <c r="L53" s="41">
        <f ca="1">$C53</f>
        <v>0</v>
      </c>
      <c r="M53" s="443" t="b" cm="1">
        <f t="array" aca="1" ref="M53" ca="1">IF(INDIRECT("'Worksheet 2'!$D"&amp;$B43)=1, "Right of Pair", IF(INDIRECT("'Worksheet 2'!$E"&amp;$B43)=1, "Do Not Use"))</f>
        <v>0</v>
      </c>
      <c r="N53" s="443"/>
      <c r="O53" s="443"/>
      <c r="P53" s="374"/>
      <c r="Q53" s="374"/>
      <c r="R53" s="375"/>
    </row>
    <row r="55" spans="1:18" ht="19.5">
      <c r="A55" t="s">
        <v>28</v>
      </c>
      <c r="B55">
        <v>15</v>
      </c>
      <c r="C55" s="164" t="s">
        <v>113</v>
      </c>
      <c r="D55" s="21" t="str">
        <f>+'Worksheet 2'!$W$4</f>
        <v>Gregory Mill WO#C5364027-00086.01</v>
      </c>
      <c r="E55" s="22"/>
      <c r="F55" s="23"/>
      <c r="G55" s="22"/>
      <c r="H55" s="24"/>
      <c r="I55" s="25">
        <f>+'Worksheet 2'!$AR$1</f>
        <v>33517</v>
      </c>
      <c r="J55" s="26"/>
      <c r="L55" s="164" t="s">
        <v>113</v>
      </c>
      <c r="M55" s="21" t="str">
        <f>+'Worksheet 2'!$W$4</f>
        <v>Gregory Mill WO#C5364027-00086.01</v>
      </c>
      <c r="N55" s="22"/>
      <c r="O55" s="23"/>
      <c r="P55" s="22"/>
      <c r="Q55" s="24"/>
      <c r="R55" s="25">
        <f>+'Worksheet 2'!$AR$1</f>
        <v>33517</v>
      </c>
    </row>
    <row r="56" spans="1:18" ht="32.25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15</v>
      </c>
      <c r="G57" s="447" cm="1">
        <f t="array" aca="1" ref="G57" ca="1">INDIRECT("'Worksheet 2'!$Y"&amp;$B55)</f>
        <v>0</v>
      </c>
      <c r="H57" s="447"/>
      <c r="I57" s="448"/>
      <c r="L57" s="164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9">
        <f ca="1">G57</f>
        <v>0</v>
      </c>
      <c r="Q57" s="449"/>
      <c r="R57" s="450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0"/>
      <c r="G58" s="447"/>
      <c r="H58" s="447"/>
      <c r="I58" s="448"/>
      <c r="L58" s="166"/>
      <c r="M58" s="161" t="b">
        <f t="shared" ca="1" si="4"/>
        <v>0</v>
      </c>
      <c r="N58" s="42" t="s">
        <v>41</v>
      </c>
      <c r="O58" s="370"/>
      <c r="P58" s="449"/>
      <c r="Q58" s="451"/>
      <c r="R58" s="452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0</v>
      </c>
      <c r="L60" s="167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0</v>
      </c>
    </row>
    <row r="61" spans="1:18" ht="12.75" customHeight="1">
      <c r="C61" s="168" t="s">
        <v>114</v>
      </c>
      <c r="D61" s="373" cm="1">
        <f t="array" aca="1" ref="D61" ca="1">INDIRECT("'Worksheet 2'!$B"&amp;$B55)</f>
        <v>0</v>
      </c>
      <c r="E61" s="22"/>
      <c r="F61" s="23"/>
      <c r="G61" s="22"/>
      <c r="H61" s="24"/>
      <c r="I61" s="444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44" t="str">
        <f ca="1">I61</f>
        <v>P2-25</v>
      </c>
    </row>
    <row r="62" spans="1:18" ht="15.75" customHeight="1">
      <c r="C62" s="164" t="s">
        <v>117</v>
      </c>
      <c r="D62" s="346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45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45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7" cm="1">
        <f t="array" aca="1" ref="E63" ca="1">INDIRECT("'Worksheet 2'!$X"&amp;$B55)</f>
        <v>0</v>
      </c>
      <c r="F63" s="39"/>
      <c r="G63" s="20"/>
      <c r="H63" s="347" t="str" cm="1">
        <f t="array" aca="1" ref="H63" ca="1">INDIRECT("'Worksheet 2'!$R"&amp;$B55)</f>
        <v xml:space="preserve"> </v>
      </c>
      <c r="I63" s="445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5"/>
    </row>
    <row r="64" spans="1:18" ht="15.75" customHeight="1">
      <c r="C64" s="164" t="s">
        <v>13</v>
      </c>
      <c r="D64" s="347" cm="1">
        <f t="array" aca="1" ref="D64" ca="1">INDIRECT("'Worksheet 2'!$W"&amp;$B55)</f>
        <v>0</v>
      </c>
      <c r="E64" s="22"/>
      <c r="F64" s="23"/>
      <c r="G64" s="22"/>
      <c r="H64" s="347" t="str" cm="1">
        <f t="array" aca="1" ref="H64" ca="1">INDIRECT("'Worksheet 2'!$P"&amp;$B55)</f>
        <v xml:space="preserve"> </v>
      </c>
      <c r="I64" s="446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46"/>
    </row>
    <row r="65" spans="1:18" ht="23.25">
      <c r="C65" s="348" cm="1">
        <f t="array" aca="1" ref="C65" ca="1">INDIRECT("'Worksheet 2'!$J"&amp;$B55)</f>
        <v>0</v>
      </c>
      <c r="D65" s="443" t="b" cm="1">
        <f t="array" aca="1" ref="D65" ca="1">IF(INDIRECT("'Worksheet 2'!$D"&amp;$B55)=1, "Left of Pair", IF(INDIRECT("'Worksheet 2'!$E"&amp;$B55)=1, "Panel"))</f>
        <v>0</v>
      </c>
      <c r="E65" s="443"/>
      <c r="F65" s="443"/>
      <c r="G65" s="374"/>
      <c r="H65" s="374" t="str" cm="1">
        <f t="array" aca="1" ref="H65" ca="1">IF(INDIRECT("'Worksheet 2'!$F"&amp;$B55)="st","SOR T&amp;B"," ")</f>
        <v xml:space="preserve"> </v>
      </c>
      <c r="I65" s="375"/>
      <c r="L65" s="41">
        <f ca="1">$C65</f>
        <v>0</v>
      </c>
      <c r="M65" s="443" t="b" cm="1">
        <f t="array" aca="1" ref="M65" ca="1">IF(INDIRECT("'Worksheet 2'!$D"&amp;$B55)=1, "Right of Pair", IF(INDIRECT("'Worksheet 2'!$E"&amp;$B55)=1, "Do Not Use"))</f>
        <v>0</v>
      </c>
      <c r="N65" s="443"/>
      <c r="O65" s="443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+'Worksheet 2'!$W$4</f>
        <v>Gregory Mill WO#C5364027-00086.01</v>
      </c>
      <c r="E69" s="22"/>
      <c r="F69" s="23"/>
      <c r="G69" s="22"/>
      <c r="H69" s="24"/>
      <c r="I69" s="25">
        <f>+'Worksheet 2'!$AR$1</f>
        <v>33517</v>
      </c>
      <c r="J69" s="26"/>
      <c r="L69" s="164" t="s">
        <v>113</v>
      </c>
      <c r="M69" s="21" t="str">
        <f>+'Worksheet 2'!$W$4</f>
        <v>Gregory Mill WO#C5364027-00086.01</v>
      </c>
      <c r="N69" s="22"/>
      <c r="O69" s="23"/>
      <c r="P69" s="22"/>
      <c r="Q69" s="24"/>
      <c r="R69" s="25">
        <f>+'Worksheet 2'!$AR$1</f>
        <v>33517</v>
      </c>
    </row>
    <row r="70" spans="1:18" ht="32.25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15</v>
      </c>
      <c r="G71" s="447" cm="1">
        <f t="array" aca="1" ref="G71" ca="1">INDIRECT("'Worksheet 2'!$Y"&amp;$B69)</f>
        <v>0</v>
      </c>
      <c r="H71" s="447"/>
      <c r="I71" s="448"/>
      <c r="L71" s="164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9">
        <f ca="1">G71</f>
        <v>0</v>
      </c>
      <c r="Q71" s="449"/>
      <c r="R71" s="450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0"/>
      <c r="G72" s="447"/>
      <c r="H72" s="447"/>
      <c r="I72" s="448"/>
      <c r="L72" s="166"/>
      <c r="M72" s="161" t="b">
        <f t="shared" ca="1" si="5"/>
        <v>0</v>
      </c>
      <c r="N72" s="42" t="s">
        <v>41</v>
      </c>
      <c r="O72" s="370"/>
      <c r="P72" s="449"/>
      <c r="Q72" s="451"/>
      <c r="R72" s="452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0</v>
      </c>
      <c r="L74" s="167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0</v>
      </c>
    </row>
    <row r="75" spans="1:18" ht="12.75" customHeight="1">
      <c r="C75" s="168" t="s">
        <v>114</v>
      </c>
      <c r="D75" s="373" cm="1">
        <f t="array" aca="1" ref="D75" ca="1">INDIRECT("'Worksheet 2'!$B"&amp;$B69)</f>
        <v>0</v>
      </c>
      <c r="E75" s="22"/>
      <c r="F75" s="23"/>
      <c r="G75" s="22"/>
      <c r="H75" s="24"/>
      <c r="I75" s="444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44" t="str">
        <f ca="1">I75</f>
        <v>P2-26</v>
      </c>
    </row>
    <row r="76" spans="1:18" ht="15.75" customHeight="1">
      <c r="C76" s="164" t="s">
        <v>117</v>
      </c>
      <c r="D76" s="346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45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45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7" cm="1">
        <f t="array" aca="1" ref="E77" ca="1">INDIRECT("'Worksheet 2'!$X"&amp;$B69)</f>
        <v>0</v>
      </c>
      <c r="F77" s="39"/>
      <c r="G77" s="20"/>
      <c r="H77" s="347" t="str" cm="1">
        <f t="array" aca="1" ref="H77" ca="1">INDIRECT("'Worksheet 2'!$R"&amp;$B69)</f>
        <v xml:space="preserve"> </v>
      </c>
      <c r="I77" s="445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5"/>
    </row>
    <row r="78" spans="1:18" ht="15.75" customHeight="1">
      <c r="C78" s="164" t="s">
        <v>13</v>
      </c>
      <c r="D78" s="347" cm="1">
        <f t="array" aca="1" ref="D78" ca="1">INDIRECT("'Worksheet 2'!$W"&amp;$B69)</f>
        <v>0</v>
      </c>
      <c r="E78" s="22"/>
      <c r="F78" s="23"/>
      <c r="G78" s="22"/>
      <c r="H78" s="347" t="str" cm="1">
        <f t="array" aca="1" ref="H78" ca="1">INDIRECT("'Worksheet 2'!$P"&amp;$B69)</f>
        <v xml:space="preserve"> </v>
      </c>
      <c r="I78" s="446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46"/>
    </row>
    <row r="79" spans="1:18" ht="23.25">
      <c r="C79" s="348" cm="1">
        <f t="array" aca="1" ref="C79" ca="1">INDIRECT("'Worksheet 2'!$J"&amp;$B69)</f>
        <v>0</v>
      </c>
      <c r="D79" s="443" t="b" cm="1">
        <f t="array" aca="1" ref="D79" ca="1">IF(INDIRECT("'Worksheet 2'!$D"&amp;$B69)=1, "Left of Pair", IF(INDIRECT("'Worksheet 2'!$E"&amp;$B69)=1, "Panel"))</f>
        <v>0</v>
      </c>
      <c r="E79" s="443"/>
      <c r="F79" s="443"/>
      <c r="G79" s="374"/>
      <c r="H79" s="374" t="str" cm="1">
        <f t="array" aca="1" ref="H79" ca="1">IF(INDIRECT("'Worksheet 2'!$F"&amp;$B69)="st","SOR T&amp;B"," ")</f>
        <v xml:space="preserve"> </v>
      </c>
      <c r="I79" s="375"/>
      <c r="L79" s="41">
        <f ca="1">$C79</f>
        <v>0</v>
      </c>
      <c r="M79" s="443" t="b" cm="1">
        <f t="array" aca="1" ref="M79" ca="1">IF(INDIRECT("'Worksheet 2'!$D"&amp;$B69)=1, "Right of Pair", IF(INDIRECT("'Worksheet 2'!$E"&amp;$B69)=1, "Do Not Use"))</f>
        <v>0</v>
      </c>
      <c r="N79" s="443"/>
      <c r="O79" s="443"/>
      <c r="P79" s="374"/>
      <c r="Q79" s="374"/>
      <c r="R79" s="375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+'Worksheet 2'!$W$4</f>
        <v>Gregory Mill WO#C5364027-00086.01</v>
      </c>
      <c r="E83" s="22"/>
      <c r="F83" s="23"/>
      <c r="G83" s="22"/>
      <c r="H83" s="24"/>
      <c r="I83" s="25">
        <f>+'Worksheet 2'!$AR$1</f>
        <v>33517</v>
      </c>
      <c r="J83" s="26"/>
      <c r="L83" s="164" t="s">
        <v>113</v>
      </c>
      <c r="M83" s="21" t="str">
        <f>+'Worksheet 2'!$W$4</f>
        <v>Gregory Mill WO#C5364027-00086.01</v>
      </c>
      <c r="N83" s="22"/>
      <c r="O83" s="23"/>
      <c r="P83" s="22"/>
      <c r="Q83" s="24"/>
      <c r="R83" s="25">
        <f>+'Worksheet 2'!$AR$1</f>
        <v>33517</v>
      </c>
    </row>
    <row r="84" spans="1:18" ht="32.25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15</v>
      </c>
      <c r="G85" s="447" cm="1">
        <f t="array" aca="1" ref="G85" ca="1">INDIRECT("'Worksheet 2'!$Y"&amp;$B83)</f>
        <v>0</v>
      </c>
      <c r="H85" s="447"/>
      <c r="I85" s="448"/>
      <c r="L85" s="164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9">
        <f ca="1">G85</f>
        <v>0</v>
      </c>
      <c r="Q85" s="449"/>
      <c r="R85" s="450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0"/>
      <c r="G86" s="447"/>
      <c r="H86" s="447"/>
      <c r="I86" s="448"/>
      <c r="L86" s="166"/>
      <c r="M86" s="161" t="b">
        <f t="shared" ca="1" si="6"/>
        <v>0</v>
      </c>
      <c r="N86" s="42" t="s">
        <v>41</v>
      </c>
      <c r="O86" s="370"/>
      <c r="P86" s="449"/>
      <c r="Q86" s="451"/>
      <c r="R86" s="452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0</v>
      </c>
      <c r="L88" s="167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0</v>
      </c>
    </row>
    <row r="89" spans="1:18" ht="12.75" customHeight="1">
      <c r="C89" s="168" t="s">
        <v>114</v>
      </c>
      <c r="D89" s="373" cm="1">
        <f t="array" aca="1" ref="D89" ca="1">INDIRECT("'Worksheet 2'!$B"&amp;$B83)</f>
        <v>0</v>
      </c>
      <c r="E89" s="22"/>
      <c r="F89" s="23"/>
      <c r="G89" s="22"/>
      <c r="H89" s="24"/>
      <c r="I89" s="444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44" t="str">
        <f ca="1">I89</f>
        <v>P2-27</v>
      </c>
    </row>
    <row r="90" spans="1:18" ht="15.75" customHeight="1">
      <c r="C90" s="164" t="s">
        <v>117</v>
      </c>
      <c r="D90" s="346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45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45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7" cm="1">
        <f t="array" aca="1" ref="E91" ca="1">INDIRECT("'Worksheet 2'!$X"&amp;$B83)</f>
        <v>0</v>
      </c>
      <c r="F91" s="39"/>
      <c r="G91" s="20"/>
      <c r="H91" s="347" t="str" cm="1">
        <f t="array" aca="1" ref="H91" ca="1">INDIRECT("'Worksheet 2'!$R"&amp;$B83)</f>
        <v xml:space="preserve"> </v>
      </c>
      <c r="I91" s="445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5"/>
    </row>
    <row r="92" spans="1:18" ht="15.75" customHeight="1">
      <c r="C92" s="164" t="s">
        <v>13</v>
      </c>
      <c r="D92" s="347" cm="1">
        <f t="array" aca="1" ref="D92" ca="1">INDIRECT("'Worksheet 2'!$W"&amp;$B83)</f>
        <v>0</v>
      </c>
      <c r="E92" s="22"/>
      <c r="F92" s="23"/>
      <c r="G92" s="22"/>
      <c r="H92" s="347" t="str" cm="1">
        <f t="array" aca="1" ref="H92" ca="1">INDIRECT("'Worksheet 2'!$P"&amp;$B83)</f>
        <v xml:space="preserve"> </v>
      </c>
      <c r="I92" s="446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46"/>
    </row>
    <row r="93" spans="1:18" ht="23.25">
      <c r="C93" s="348" cm="1">
        <f t="array" aca="1" ref="C93" ca="1">INDIRECT("'Worksheet 2'!$J"&amp;$B83)</f>
        <v>0</v>
      </c>
      <c r="D93" s="443" t="b" cm="1">
        <f t="array" aca="1" ref="D93" ca="1">IF(INDIRECT("'Worksheet 2'!$D"&amp;$B83)=1, "Left of Pair", IF(INDIRECT("'Worksheet 2'!$E"&amp;$B83)=1, "Panel"))</f>
        <v>0</v>
      </c>
      <c r="E93" s="443"/>
      <c r="F93" s="443"/>
      <c r="G93" s="374"/>
      <c r="H93" s="374" t="str" cm="1">
        <f t="array" aca="1" ref="H93" ca="1">IF(INDIRECT("'Worksheet 2'!$F"&amp;$B83)="st","SOR T&amp;B"," ")</f>
        <v xml:space="preserve"> </v>
      </c>
      <c r="I93" s="375"/>
      <c r="L93" s="41">
        <f ca="1">$C93</f>
        <v>0</v>
      </c>
      <c r="M93" s="443" t="b" cm="1">
        <f t="array" aca="1" ref="M93" ca="1">IF(INDIRECT("'Worksheet 2'!$D"&amp;$B83)=1, "Right of Pair", IF(INDIRECT("'Worksheet 2'!$E"&amp;$B83)=1, "Do Not Use"))</f>
        <v>0</v>
      </c>
      <c r="N93" s="443"/>
      <c r="O93" s="443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+'Worksheet 2'!$W$4</f>
        <v>Gregory Mill WO#C5364027-00086.01</v>
      </c>
      <c r="E97" s="22"/>
      <c r="F97" s="23"/>
      <c r="G97" s="22"/>
      <c r="H97" s="24"/>
      <c r="I97" s="25">
        <f>+'Worksheet 2'!$AR$1</f>
        <v>33517</v>
      </c>
      <c r="J97" s="26"/>
      <c r="L97" s="164" t="s">
        <v>113</v>
      </c>
      <c r="M97" s="21" t="str">
        <f>+'Worksheet 2'!$W$4</f>
        <v>Gregory Mill WO#C5364027-00086.01</v>
      </c>
      <c r="N97" s="22"/>
      <c r="O97" s="23"/>
      <c r="P97" s="22"/>
      <c r="Q97" s="24"/>
      <c r="R97" s="25">
        <f>+'Worksheet 2'!$AR$1</f>
        <v>33517</v>
      </c>
    </row>
    <row r="98" spans="1:18" ht="32.25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15</v>
      </c>
      <c r="G99" s="447" cm="1">
        <f t="array" aca="1" ref="G99" ca="1">INDIRECT("'Worksheet 2'!$Y"&amp;$B97)</f>
        <v>0</v>
      </c>
      <c r="H99" s="447"/>
      <c r="I99" s="448"/>
      <c r="L99" s="164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0"/>
      <c r="G100" s="447"/>
      <c r="H100" s="447"/>
      <c r="I100" s="448"/>
      <c r="L100" s="166"/>
      <c r="M100" s="161" t="b">
        <f t="shared" ca="1" si="7"/>
        <v>0</v>
      </c>
      <c r="N100" s="42" t="s">
        <v>41</v>
      </c>
      <c r="O100" s="370"/>
      <c r="P100" s="449"/>
      <c r="Q100" s="451"/>
      <c r="R100" s="452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0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0</v>
      </c>
    </row>
    <row r="103" spans="1:18" ht="12.75" customHeight="1">
      <c r="C103" s="168" t="s">
        <v>114</v>
      </c>
      <c r="D103" s="373" cm="1">
        <f t="array" aca="1" ref="D103" ca="1">INDIRECT("'Worksheet 2'!$B"&amp;$B97)</f>
        <v>0</v>
      </c>
      <c r="E103" s="22"/>
      <c r="F103" s="23"/>
      <c r="G103" s="22"/>
      <c r="H103" s="24"/>
      <c r="I103" s="444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P2-28</v>
      </c>
    </row>
    <row r="104" spans="1:18" ht="15.75" customHeight="1">
      <c r="C104" s="164" t="s">
        <v>117</v>
      </c>
      <c r="D104" s="346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45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45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 2'!$X"&amp;$B97)</f>
        <v>0</v>
      </c>
      <c r="F105" s="39"/>
      <c r="G105" s="20"/>
      <c r="H105" s="347" t="str" cm="1">
        <f t="array" aca="1" ref="H105" ca="1">INDIRECT("'Worksheet 2'!$R"&amp;$B97)</f>
        <v xml:space="preserve"> </v>
      </c>
      <c r="I105" s="445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5"/>
    </row>
    <row r="106" spans="1:18" ht="15.75" customHeight="1">
      <c r="C106" s="164" t="s">
        <v>13</v>
      </c>
      <c r="D106" s="347" cm="1">
        <f t="array" aca="1" ref="D106" ca="1">INDIRECT("'Worksheet 2'!$W"&amp;$B97)</f>
        <v>0</v>
      </c>
      <c r="E106" s="22"/>
      <c r="F106" s="23"/>
      <c r="G106" s="22"/>
      <c r="H106" s="347" t="str" cm="1">
        <f t="array" aca="1" ref="H106" ca="1">INDIRECT("'Worksheet 2'!$P"&amp;$B97)</f>
        <v xml:space="preserve"> </v>
      </c>
      <c r="I106" s="446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46"/>
    </row>
    <row r="107" spans="1:18" ht="23.25">
      <c r="C107" s="348" cm="1">
        <f t="array" aca="1" ref="C107" ca="1">INDIRECT("'Worksheet 2'!$J"&amp;$B97)</f>
        <v>0</v>
      </c>
      <c r="D107" s="443" t="b" cm="1">
        <f t="array" aca="1" ref="D107" ca="1">IF(INDIRECT("'Worksheet 2'!$D"&amp;$B97)=1, "Left of Pair", IF(INDIRECT("'Worksheet 2'!$E"&amp;$B97)=1, "Panel"))</f>
        <v>0</v>
      </c>
      <c r="E107" s="443"/>
      <c r="F107" s="443"/>
      <c r="G107" s="374"/>
      <c r="H107" s="374" t="str" cm="1">
        <f t="array" aca="1" ref="H107" ca="1">IF(INDIRECT("'Worksheet 2'!$F"&amp;$B97)="st","SOR T&amp;B"," ")</f>
        <v xml:space="preserve"> </v>
      </c>
      <c r="I107" s="375"/>
      <c r="L107" s="41">
        <f ca="1">$C107</f>
        <v>0</v>
      </c>
      <c r="M107" s="443" t="b" cm="1">
        <f t="array" aca="1" ref="M107" ca="1">IF(INDIRECT("'Worksheet 2'!$D"&amp;$B97)=1, "Right of Pair", IF(INDIRECT("'Worksheet 2'!$E"&amp;$B97)=1, "Do Not Use"))</f>
        <v>0</v>
      </c>
      <c r="N107" s="443"/>
      <c r="O107" s="443"/>
      <c r="P107" s="374"/>
      <c r="Q107" s="374"/>
      <c r="R107" s="375"/>
    </row>
    <row r="109" spans="1:18" ht="19.5">
      <c r="A109" t="s">
        <v>32</v>
      </c>
      <c r="B109">
        <v>19</v>
      </c>
      <c r="C109" s="164" t="s">
        <v>113</v>
      </c>
      <c r="D109" s="21" t="str">
        <f>+'Worksheet 2'!$W$4</f>
        <v>Gregory Mill WO#C5364027-00086.01</v>
      </c>
      <c r="E109" s="22"/>
      <c r="F109" s="23"/>
      <c r="G109" s="22"/>
      <c r="H109" s="24"/>
      <c r="I109" s="25">
        <f>+'Worksheet 2'!$AR$1</f>
        <v>33517</v>
      </c>
      <c r="J109" s="26"/>
      <c r="L109" s="164" t="s">
        <v>113</v>
      </c>
      <c r="M109" s="21" t="str">
        <f>+'Worksheet 2'!$W$4</f>
        <v>Gregory Mill WO#C5364027-00086.01</v>
      </c>
      <c r="N109" s="22"/>
      <c r="O109" s="23"/>
      <c r="P109" s="22"/>
      <c r="Q109" s="24"/>
      <c r="R109" s="25">
        <f>+'Worksheet 2'!$AR$1</f>
        <v>33517</v>
      </c>
    </row>
    <row r="110" spans="1:18" ht="32.25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</v>
      </c>
      <c r="G111" s="447" cm="1">
        <f t="array" aca="1" ref="G111" ca="1">INDIRECT("'Worksheet 2'!$Y"&amp;$B109)</f>
        <v>0</v>
      </c>
      <c r="H111" s="447"/>
      <c r="I111" s="448"/>
      <c r="L111" s="164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0"/>
      <c r="G112" s="447"/>
      <c r="H112" s="447"/>
      <c r="I112" s="448"/>
      <c r="L112" s="166"/>
      <c r="M112" s="161" t="b">
        <f t="shared" ca="1" si="8"/>
        <v>0</v>
      </c>
      <c r="N112" s="42" t="s">
        <v>41</v>
      </c>
      <c r="O112" s="370"/>
      <c r="P112" s="449"/>
      <c r="Q112" s="451"/>
      <c r="R112" s="452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0</v>
      </c>
      <c r="L114" s="167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0</v>
      </c>
    </row>
    <row r="115" spans="1:18" ht="12.75" customHeight="1">
      <c r="C115" s="168" t="s">
        <v>114</v>
      </c>
      <c r="D115" s="373" cm="1">
        <f t="array" aca="1" ref="D115" ca="1">INDIRECT("'Worksheet 2'!$B"&amp;$B109)</f>
        <v>0</v>
      </c>
      <c r="E115" s="22"/>
      <c r="F115" s="23"/>
      <c r="G115" s="22"/>
      <c r="H115" s="24"/>
      <c r="I115" s="444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P2-29</v>
      </c>
    </row>
    <row r="116" spans="1:18" ht="15.75" customHeight="1">
      <c r="C116" s="164" t="s">
        <v>117</v>
      </c>
      <c r="D116" s="346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45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45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45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5"/>
    </row>
    <row r="118" spans="1:18" ht="15.75" customHeight="1">
      <c r="C118" s="164" t="s">
        <v>13</v>
      </c>
      <c r="D118" s="347" cm="1">
        <f t="array" aca="1" ref="D118" ca="1">INDIRECT("'Worksheet 2'!$W"&amp;$B109)</f>
        <v>0</v>
      </c>
      <c r="E118" s="22"/>
      <c r="F118" s="23"/>
      <c r="G118" s="22"/>
      <c r="H118" s="347" t="str" cm="1">
        <f t="array" aca="1" ref="H118" ca="1">INDIRECT("'Worksheet 2'!$P"&amp;$B109)</f>
        <v xml:space="preserve"> </v>
      </c>
      <c r="I118" s="446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46"/>
    </row>
    <row r="119" spans="1:18" ht="23.25">
      <c r="C119" s="348" cm="1">
        <f t="array" aca="1" ref="C119" ca="1">INDIRECT("'Worksheet 2'!$J"&amp;$B109)</f>
        <v>0</v>
      </c>
      <c r="D119" s="443" t="b" cm="1">
        <f t="array" aca="1" ref="D119" ca="1">IF(INDIRECT("'Worksheet 2'!$D"&amp;$B109)=1, "Left of Pair", IF(INDIRECT("'Worksheet 2'!$E"&amp;$B109)=1, "Panel"))</f>
        <v>0</v>
      </c>
      <c r="E119" s="443"/>
      <c r="F119" s="443"/>
      <c r="G119" s="374"/>
      <c r="H119" s="374" t="str" cm="1">
        <f t="array" aca="1" ref="H119" ca="1">IF(INDIRECT("'Worksheet 2'!$F"&amp;$B109)="st","SOR T&amp;B"," ")</f>
        <v xml:space="preserve"> </v>
      </c>
      <c r="I119" s="375"/>
      <c r="L119" s="41">
        <f ca="1">$C119</f>
        <v>0</v>
      </c>
      <c r="M119" s="443" t="b" cm="1">
        <f t="array" aca="1" ref="M119" ca="1">IF(INDIRECT("'Worksheet 2'!$D"&amp;$B109)=1, "Right of Pair", IF(INDIRECT("'Worksheet 2'!$E"&amp;$B109)=1, "Do Not Use"))</f>
        <v>0</v>
      </c>
      <c r="N119" s="443"/>
      <c r="O119" s="443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+'Worksheet 2'!$W$4</f>
        <v>Gregory Mill WO#C5364027-00086.01</v>
      </c>
      <c r="E123" s="22"/>
      <c r="F123" s="23"/>
      <c r="G123" s="22"/>
      <c r="H123" s="24"/>
      <c r="I123" s="25">
        <f>+'Worksheet 2'!$AR$1</f>
        <v>33517</v>
      </c>
      <c r="J123" s="26"/>
      <c r="L123" s="164" t="s">
        <v>113</v>
      </c>
      <c r="M123" s="21" t="str">
        <f>+'Worksheet 2'!$W$4</f>
        <v>Gregory Mill WO#C5364027-00086.01</v>
      </c>
      <c r="N123" s="22"/>
      <c r="O123" s="23"/>
      <c r="P123" s="22"/>
      <c r="Q123" s="24"/>
      <c r="R123" s="25">
        <f>+'Worksheet 2'!$AR$1</f>
        <v>33517</v>
      </c>
    </row>
    <row r="124" spans="1:18" ht="32.25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</v>
      </c>
      <c r="G125" s="447" cm="1">
        <f t="array" aca="1" ref="G125" ca="1">INDIRECT("'Worksheet 2'!$Y"&amp;$B123)</f>
        <v>0</v>
      </c>
      <c r="H125" s="447"/>
      <c r="I125" s="448"/>
      <c r="L125" s="164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0"/>
      <c r="G126" s="447"/>
      <c r="H126" s="447"/>
      <c r="I126" s="448"/>
      <c r="L126" s="166"/>
      <c r="M126" s="161" t="b">
        <f t="shared" ca="1" si="9"/>
        <v>0</v>
      </c>
      <c r="N126" s="42" t="s">
        <v>41</v>
      </c>
      <c r="O126" s="370"/>
      <c r="P126" s="449"/>
      <c r="Q126" s="451"/>
      <c r="R126" s="452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0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0</v>
      </c>
    </row>
    <row r="129" spans="1:18" ht="12.75" customHeight="1">
      <c r="C129" s="168" t="s">
        <v>114</v>
      </c>
      <c r="D129" s="373" cm="1">
        <f t="array" aca="1" ref="D129" ca="1">INDIRECT("'Worksheet 2'!$B"&amp;$B123)</f>
        <v>0</v>
      </c>
      <c r="E129" s="22"/>
      <c r="F129" s="23"/>
      <c r="G129" s="22"/>
      <c r="H129" s="24"/>
      <c r="I129" s="444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P2-30</v>
      </c>
    </row>
    <row r="130" spans="1:18" ht="15.75" customHeight="1">
      <c r="C130" s="164" t="s">
        <v>117</v>
      </c>
      <c r="D130" s="346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45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45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45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5"/>
    </row>
    <row r="132" spans="1:18" ht="15.75" customHeight="1">
      <c r="C132" s="164" t="s">
        <v>13</v>
      </c>
      <c r="D132" s="347" cm="1">
        <f t="array" aca="1" ref="D132" ca="1">INDIRECT("'Worksheet 2'!$W"&amp;$B123)</f>
        <v>0</v>
      </c>
      <c r="E132" s="22"/>
      <c r="F132" s="23"/>
      <c r="G132" s="22"/>
      <c r="H132" s="347" t="str" cm="1">
        <f t="array" aca="1" ref="H132" ca="1">INDIRECT("'Worksheet 2'!$P"&amp;$B123)</f>
        <v xml:space="preserve"> </v>
      </c>
      <c r="I132" s="446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46"/>
    </row>
    <row r="133" spans="1:18" ht="23.25">
      <c r="C133" s="348" cm="1">
        <f t="array" aca="1" ref="C133" ca="1">INDIRECT("'Worksheet 2'!$J"&amp;$B123)</f>
        <v>0</v>
      </c>
      <c r="D133" s="443" t="b" cm="1">
        <f t="array" aca="1" ref="D133" ca="1">IF(INDIRECT("'Worksheet 2'!$D"&amp;$B123)=1, "Left of Pair", IF(INDIRECT("'Worksheet 2'!$E"&amp;$B123)=1, "Panel"))</f>
        <v>0</v>
      </c>
      <c r="E133" s="443"/>
      <c r="F133" s="443"/>
      <c r="G133" s="374"/>
      <c r="H133" s="374" t="str" cm="1">
        <f t="array" aca="1" ref="H133" ca="1">IF(INDIRECT("'Worksheet 2'!$F"&amp;$B123)="st","SOR T&amp;B"," ")</f>
        <v xml:space="preserve"> </v>
      </c>
      <c r="I133" s="375"/>
      <c r="L133" s="41">
        <f ca="1">$C133</f>
        <v>0</v>
      </c>
      <c r="M133" s="443" t="b" cm="1">
        <f t="array" aca="1" ref="M133" ca="1">IF(INDIRECT("'Worksheet 2'!$D"&amp;$B123)=1, "Right of Pair", IF(INDIRECT("'Worksheet 2'!$E"&amp;$B123)=1, "Do Not Use"))</f>
        <v>0</v>
      </c>
      <c r="N133" s="443"/>
      <c r="O133" s="443"/>
      <c r="P133" s="374"/>
      <c r="Q133" s="374"/>
      <c r="R133" s="375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+'Worksheet 2'!$W$4</f>
        <v>Gregory Mill WO#C5364027-00086.01</v>
      </c>
      <c r="E137" s="22"/>
      <c r="F137" s="23"/>
      <c r="G137" s="22"/>
      <c r="H137" s="24"/>
      <c r="I137" s="25">
        <f>+'Worksheet 2'!$AR$1</f>
        <v>33517</v>
      </c>
      <c r="J137" s="26"/>
      <c r="L137" s="164" t="s">
        <v>113</v>
      </c>
      <c r="M137" s="21" t="str">
        <f>+'Worksheet 2'!$W$4</f>
        <v>Gregory Mill WO#C5364027-00086.01</v>
      </c>
      <c r="N137" s="22"/>
      <c r="O137" s="23"/>
      <c r="P137" s="22"/>
      <c r="Q137" s="24"/>
      <c r="R137" s="25">
        <f>+'Worksheet 2'!$AR$1</f>
        <v>33517</v>
      </c>
    </row>
    <row r="138" spans="1:18" ht="32.25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7" cm="1">
        <f t="array" aca="1" ref="G139" ca="1">INDIRECT("'Worksheet 2'!$Y"&amp;$B137)</f>
        <v>0</v>
      </c>
      <c r="H139" s="447"/>
      <c r="I139" s="448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7"/>
      <c r="H140" s="447"/>
      <c r="I140" s="448"/>
      <c r="L140" s="166"/>
      <c r="M140" s="161" t="b">
        <f t="shared" ca="1" si="10"/>
        <v>0</v>
      </c>
      <c r="N140" s="42" t="s">
        <v>41</v>
      </c>
      <c r="O140" s="370"/>
      <c r="P140" s="449"/>
      <c r="Q140" s="451"/>
      <c r="R140" s="452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8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44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P2-31</v>
      </c>
    </row>
    <row r="144" spans="1:18" ht="15.75" customHeight="1">
      <c r="C144" s="164" t="s">
        <v>117</v>
      </c>
      <c r="D144" s="346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45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45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45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5"/>
    </row>
    <row r="146" spans="1:18" ht="15.75" customHeight="1">
      <c r="C146" s="164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46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46"/>
    </row>
    <row r="147" spans="1:18" ht="23.25">
      <c r="C147" s="348" cm="1">
        <f t="array" aca="1" ref="C147" ca="1">INDIRECT("'Worksheet 2'!$J"&amp;$B137)</f>
        <v>0</v>
      </c>
      <c r="D147" s="443" t="b" cm="1">
        <f t="array" aca="1" ref="D147" ca="1">IF(INDIRECT("'Worksheet 2'!$D"&amp;$B137)=1, "Left of Pair", IF(INDIRECT("'Worksheet 2'!$E"&amp;$B137)=1, "Panel"))</f>
        <v>0</v>
      </c>
      <c r="E147" s="443"/>
      <c r="F147" s="443"/>
      <c r="G147" s="374"/>
      <c r="H147" s="374" t="str" cm="1">
        <f t="array" aca="1" ref="H147" ca="1">IF(INDIRECT("'Worksheet 2'!$F"&amp;$B137)="st","SOR T&amp;B"," ")</f>
        <v xml:space="preserve"> </v>
      </c>
      <c r="I147" s="375"/>
      <c r="L147" s="41">
        <f ca="1">$C147</f>
        <v>0</v>
      </c>
      <c r="M147" s="443" t="b" cm="1">
        <f t="array" aca="1" ref="M147" ca="1">IF(INDIRECT("'Worksheet 2'!$D"&amp;$B137)=1, "Right of Pair", IF(INDIRECT("'Worksheet 2'!$E"&amp;$B137)=1, "Do Not Use"))</f>
        <v>0</v>
      </c>
      <c r="N147" s="443"/>
      <c r="O147" s="443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+'Worksheet 2'!$W$4</f>
        <v>Gregory Mill WO#C5364027-00086.01</v>
      </c>
      <c r="E151" s="22"/>
      <c r="F151" s="23"/>
      <c r="G151" s="22"/>
      <c r="H151" s="24"/>
      <c r="I151" s="25">
        <f>+'Worksheet 2'!$AR$1</f>
        <v>33517</v>
      </c>
      <c r="J151" s="26"/>
      <c r="L151" s="164" t="s">
        <v>113</v>
      </c>
      <c r="M151" s="21" t="str">
        <f>+'Worksheet 2'!$W$4</f>
        <v>Gregory Mill WO#C5364027-00086.01</v>
      </c>
      <c r="N151" s="22"/>
      <c r="O151" s="23"/>
      <c r="P151" s="22"/>
      <c r="Q151" s="24"/>
      <c r="R151" s="25">
        <f>+'Worksheet 2'!$AR$1</f>
        <v>33517</v>
      </c>
    </row>
    <row r="152" spans="1:18" ht="32.25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7" cm="1">
        <f t="array" aca="1" ref="G153" ca="1">INDIRECT("'Worksheet 2'!$Y"&amp;$B151)</f>
        <v>0</v>
      </c>
      <c r="H153" s="447"/>
      <c r="I153" s="448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7"/>
      <c r="H154" s="447"/>
      <c r="I154" s="448"/>
      <c r="L154" s="166"/>
      <c r="M154" s="161" t="b">
        <f t="shared" ca="1" si="11"/>
        <v>0</v>
      </c>
      <c r="N154" s="42" t="s">
        <v>41</v>
      </c>
      <c r="O154" s="370"/>
      <c r="P154" s="449"/>
      <c r="Q154" s="451"/>
      <c r="R154" s="452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8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44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P2-32</v>
      </c>
    </row>
    <row r="158" spans="1:18" ht="15.75" customHeight="1">
      <c r="C158" s="164" t="s">
        <v>117</v>
      </c>
      <c r="D158" s="346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45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45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45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5"/>
    </row>
    <row r="160" spans="1:18" ht="15.75" customHeight="1">
      <c r="C160" s="164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46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46"/>
    </row>
    <row r="161" spans="1:18" ht="23.25">
      <c r="C161" s="348" cm="1">
        <f t="array" aca="1" ref="C161" ca="1">INDIRECT("'Worksheet 2'!$J"&amp;$B151)</f>
        <v>0</v>
      </c>
      <c r="D161" s="443" t="b" cm="1">
        <f t="array" aca="1" ref="D161" ca="1">IF(INDIRECT("'Worksheet 2'!$D"&amp;$B151)=1, "Left of Pair", IF(INDIRECT("'Worksheet 2'!$E"&amp;$B151)=1, "Panel"))</f>
        <v>0</v>
      </c>
      <c r="E161" s="443"/>
      <c r="F161" s="443"/>
      <c r="G161" s="374"/>
      <c r="H161" s="374" t="str" cm="1">
        <f t="array" aca="1" ref="H161" ca="1">IF(INDIRECT("'Worksheet 2'!$F"&amp;$B151)="st","SOR T&amp;B"," ")</f>
        <v xml:space="preserve"> </v>
      </c>
      <c r="I161" s="375"/>
      <c r="L161" s="41">
        <f ca="1">$C161</f>
        <v>0</v>
      </c>
      <c r="M161" s="443" t="b" cm="1">
        <f t="array" aca="1" ref="M161" ca="1">IF(INDIRECT("'Worksheet 2'!$D"&amp;$B151)=1, "Right of Pair", IF(INDIRECT("'Worksheet 2'!$E"&amp;$B151)=1, "Do Not Use"))</f>
        <v>0</v>
      </c>
      <c r="N161" s="443"/>
      <c r="O161" s="443"/>
      <c r="P161" s="374"/>
      <c r="Q161" s="374"/>
      <c r="R161" s="375"/>
    </row>
    <row r="163" spans="1:18" ht="19.5">
      <c r="A163" t="s">
        <v>36</v>
      </c>
      <c r="B163">
        <v>23</v>
      </c>
      <c r="C163" s="164" t="s">
        <v>113</v>
      </c>
      <c r="D163" s="21" t="str">
        <f>+'Worksheet 2'!$W$4</f>
        <v>Gregory Mill WO#C5364027-00086.01</v>
      </c>
      <c r="E163" s="22"/>
      <c r="F163" s="23"/>
      <c r="G163" s="22"/>
      <c r="H163" s="24"/>
      <c r="I163" s="25">
        <f>+'Worksheet 2'!$AR$1</f>
        <v>33517</v>
      </c>
      <c r="J163" s="26"/>
      <c r="L163" s="164" t="s">
        <v>113</v>
      </c>
      <c r="M163" s="21" t="str">
        <f>+'Worksheet 2'!$W$4</f>
        <v>Gregory Mill WO#C5364027-00086.01</v>
      </c>
      <c r="N163" s="22"/>
      <c r="O163" s="23"/>
      <c r="P163" s="22"/>
      <c r="Q163" s="24"/>
      <c r="R163" s="25">
        <f>+'Worksheet 2'!$AR$1</f>
        <v>33517</v>
      </c>
    </row>
    <row r="164" spans="1:18" ht="32.25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7" cm="1">
        <f t="array" aca="1" ref="G165" ca="1">INDIRECT("'Worksheet 2'!$Y"&amp;$B163)</f>
        <v>0</v>
      </c>
      <c r="H165" s="447"/>
      <c r="I165" s="448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7"/>
      <c r="H166" s="447"/>
      <c r="I166" s="448"/>
      <c r="L166" s="166"/>
      <c r="M166" s="161" t="b">
        <f t="shared" ca="1" si="12"/>
        <v>0</v>
      </c>
      <c r="N166" s="42" t="s">
        <v>41</v>
      </c>
      <c r="O166" s="370"/>
      <c r="P166" s="449"/>
      <c r="Q166" s="451"/>
      <c r="R166" s="452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8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44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P2-33</v>
      </c>
    </row>
    <row r="170" spans="1:18" ht="15.75" customHeight="1">
      <c r="C170" s="164" t="s">
        <v>117</v>
      </c>
      <c r="D170" s="346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45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45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45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5"/>
    </row>
    <row r="172" spans="1:18" ht="15.75" customHeight="1">
      <c r="C172" s="164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46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46"/>
    </row>
    <row r="173" spans="1:18" ht="23.25">
      <c r="C173" s="348" cm="1">
        <f t="array" aca="1" ref="C173" ca="1">INDIRECT("'Worksheet 2'!$J"&amp;$B163)</f>
        <v>0</v>
      </c>
      <c r="D173" s="443" t="b" cm="1">
        <f t="array" aca="1" ref="D173" ca="1">IF(INDIRECT("'Worksheet 2'!$D"&amp;$B163)=1, "Left of Pair", IF(INDIRECT("'Worksheet 2'!$E"&amp;$B163)=1, "Panel"))</f>
        <v>0</v>
      </c>
      <c r="E173" s="443"/>
      <c r="F173" s="443"/>
      <c r="G173" s="374"/>
      <c r="H173" s="374" t="str" cm="1">
        <f t="array" aca="1" ref="H173" ca="1">IF(INDIRECT("'Worksheet 2'!$F"&amp;$B163)="st","SOR T&amp;B"," ")</f>
        <v xml:space="preserve"> </v>
      </c>
      <c r="I173" s="375"/>
      <c r="L173" s="41">
        <f ca="1">$C173</f>
        <v>0</v>
      </c>
      <c r="M173" s="443" t="b" cm="1">
        <f t="array" aca="1" ref="M173" ca="1">IF(INDIRECT("'Worksheet 2'!$D"&amp;$B163)=1, "Right of Pair", IF(INDIRECT("'Worksheet 2'!$E"&amp;$B163)=1, "Do Not Use"))</f>
        <v>0</v>
      </c>
      <c r="N173" s="443"/>
      <c r="O173" s="443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+'Worksheet 2'!$W$4</f>
        <v>Gregory Mill WO#C5364027-00086.01</v>
      </c>
      <c r="E177" s="22"/>
      <c r="F177" s="23"/>
      <c r="G177" s="22"/>
      <c r="H177" s="24"/>
      <c r="I177" s="25">
        <f>+'Worksheet 2'!$AR$1</f>
        <v>33517</v>
      </c>
      <c r="J177" s="26"/>
      <c r="L177" s="164" t="s">
        <v>113</v>
      </c>
      <c r="M177" s="21" t="str">
        <f>+'Worksheet 2'!$W$4</f>
        <v>Gregory Mill WO#C5364027-00086.01</v>
      </c>
      <c r="N177" s="22"/>
      <c r="O177" s="23"/>
      <c r="P177" s="22"/>
      <c r="Q177" s="24"/>
      <c r="R177" s="25">
        <f>+'Worksheet 2'!$AR$1</f>
        <v>33517</v>
      </c>
    </row>
    <row r="178" spans="1:18" ht="32.25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7" cm="1">
        <f t="array" aca="1" ref="G179" ca="1">INDIRECT("'Worksheet 2'!$Y"&amp;$B177)</f>
        <v>0</v>
      </c>
      <c r="H179" s="447"/>
      <c r="I179" s="448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7"/>
      <c r="H180" s="447"/>
      <c r="I180" s="448"/>
      <c r="L180" s="166"/>
      <c r="M180" s="161" t="b">
        <f t="shared" ca="1" si="13"/>
        <v>0</v>
      </c>
      <c r="N180" s="42" t="s">
        <v>41</v>
      </c>
      <c r="O180" s="370"/>
      <c r="P180" s="449"/>
      <c r="Q180" s="451"/>
      <c r="R180" s="452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8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44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P2-34</v>
      </c>
    </row>
    <row r="184" spans="1:18" ht="15.75" customHeight="1">
      <c r="C184" s="164" t="s">
        <v>117</v>
      </c>
      <c r="D184" s="346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45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45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45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5"/>
    </row>
    <row r="186" spans="1:18" ht="15.75" customHeight="1">
      <c r="C186" s="164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46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46"/>
    </row>
    <row r="187" spans="1:18" ht="23.25">
      <c r="C187" s="348" cm="1">
        <f t="array" aca="1" ref="C187" ca="1">INDIRECT("'Worksheet 2'!$J"&amp;$B177)</f>
        <v>0</v>
      </c>
      <c r="D187" s="443" t="b" cm="1">
        <f t="array" aca="1" ref="D187" ca="1">IF(INDIRECT("'Worksheet 2'!$D"&amp;$B177)=1, "Left of Pair", IF(INDIRECT("'Worksheet 2'!$E"&amp;$B177)=1, "Panel"))</f>
        <v>0</v>
      </c>
      <c r="E187" s="443"/>
      <c r="F187" s="443"/>
      <c r="G187" s="374"/>
      <c r="H187" s="374" t="str" cm="1">
        <f t="array" aca="1" ref="H187" ca="1">IF(INDIRECT("'Worksheet 2'!$F"&amp;$B177)="st","SOR T&amp;B"," ")</f>
        <v xml:space="preserve"> </v>
      </c>
      <c r="I187" s="375"/>
      <c r="L187" s="41">
        <f ca="1">$C187</f>
        <v>0</v>
      </c>
      <c r="M187" s="443" t="b" cm="1">
        <f t="array" aca="1" ref="M187" ca="1">IF(INDIRECT("'Worksheet 2'!$D"&amp;$B177)=1, "Right of Pair", IF(INDIRECT("'Worksheet 2'!$E"&amp;$B177)=1, "Do Not Use"))</f>
        <v>0</v>
      </c>
      <c r="N187" s="443"/>
      <c r="O187" s="443"/>
      <c r="P187" s="374"/>
      <c r="Q187" s="374"/>
      <c r="R187" s="375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+'Worksheet 2'!$W$4</f>
        <v>Gregory Mill WO#C5364027-00086.01</v>
      </c>
      <c r="E191" s="22"/>
      <c r="F191" s="23"/>
      <c r="G191" s="22"/>
      <c r="H191" s="24"/>
      <c r="I191" s="25">
        <f>+'Worksheet 2'!$AR$1</f>
        <v>33517</v>
      </c>
      <c r="J191" s="26"/>
      <c r="L191" s="164" t="s">
        <v>113</v>
      </c>
      <c r="M191" s="21" t="str">
        <f>+'Worksheet 2'!$W$4</f>
        <v>Gregory Mill WO#C5364027-00086.01</v>
      </c>
      <c r="N191" s="22"/>
      <c r="O191" s="23"/>
      <c r="P191" s="22"/>
      <c r="Q191" s="24"/>
      <c r="R191" s="25">
        <f>+'Worksheet 2'!$AR$1</f>
        <v>33517</v>
      </c>
    </row>
    <row r="192" spans="1:18" ht="32.25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7" cm="1">
        <f t="array" aca="1" ref="G193" ca="1">INDIRECT("'Worksheet 2'!$Y"&amp;$B191)</f>
        <v>0</v>
      </c>
      <c r="H193" s="447"/>
      <c r="I193" s="448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7"/>
      <c r="H194" s="447"/>
      <c r="I194" s="448"/>
      <c r="L194" s="166"/>
      <c r="M194" s="161" t="b">
        <f t="shared" ca="1" si="14"/>
        <v>0</v>
      </c>
      <c r="N194" s="42" t="s">
        <v>41</v>
      </c>
      <c r="O194" s="370"/>
      <c r="P194" s="449"/>
      <c r="Q194" s="451"/>
      <c r="R194" s="452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8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44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P2-35</v>
      </c>
    </row>
    <row r="198" spans="1:18" ht="15.75" customHeight="1">
      <c r="C198" s="164" t="s">
        <v>117</v>
      </c>
      <c r="D198" s="346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45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45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45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5"/>
    </row>
    <row r="200" spans="1:18" ht="15.75" customHeight="1">
      <c r="C200" s="164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46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46"/>
    </row>
    <row r="201" spans="1:18" ht="23.25">
      <c r="C201" s="348" cm="1">
        <f t="array" aca="1" ref="C201" ca="1">INDIRECT("'Worksheet 2'!$J"&amp;$B191)</f>
        <v>0</v>
      </c>
      <c r="D201" s="443" t="b" cm="1">
        <f t="array" aca="1" ref="D201" ca="1">IF(INDIRECT("'Worksheet 2'!$D"&amp;$B191)=1, "Left of Pair", IF(INDIRECT("'Worksheet 2'!$E"&amp;$B191)=1, "Panel"))</f>
        <v>0</v>
      </c>
      <c r="E201" s="443"/>
      <c r="F201" s="443"/>
      <c r="G201" s="374"/>
      <c r="H201" s="374" t="str" cm="1">
        <f t="array" aca="1" ref="H201" ca="1">IF(INDIRECT("'Worksheet 2'!$F"&amp;$B191)="st","SOR T&amp;B"," ")</f>
        <v xml:space="preserve"> </v>
      </c>
      <c r="I201" s="375"/>
      <c r="L201" s="41">
        <f ca="1">$C201</f>
        <v>0</v>
      </c>
      <c r="M201" s="443" t="b" cm="1">
        <f t="array" aca="1" ref="M201" ca="1">IF(INDIRECT("'Worksheet 2'!$D"&amp;$B191)=1, "Right of Pair", IF(INDIRECT("'Worksheet 2'!$E"&amp;$B191)=1, "Do Not Use"))</f>
        <v>0</v>
      </c>
      <c r="N201" s="443"/>
      <c r="O201" s="443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+'Worksheet 2'!$W$4</f>
        <v>Gregory Mill WO#C5364027-00086.01</v>
      </c>
      <c r="E205" s="22"/>
      <c r="F205" s="23"/>
      <c r="G205" s="22"/>
      <c r="H205" s="24"/>
      <c r="I205" s="25">
        <f>+'Worksheet 2'!$AR$1</f>
        <v>33517</v>
      </c>
      <c r="J205" s="26"/>
      <c r="L205" s="164" t="s">
        <v>113</v>
      </c>
      <c r="M205" s="21" t="str">
        <f>+'Worksheet 2'!$W$4</f>
        <v>Gregory Mill WO#C5364027-00086.01</v>
      </c>
      <c r="N205" s="22"/>
      <c r="O205" s="23"/>
      <c r="P205" s="22"/>
      <c r="Q205" s="24"/>
      <c r="R205" s="25">
        <f>+'Worksheet 2'!$AR$1</f>
        <v>33517</v>
      </c>
    </row>
    <row r="206" spans="1:18" ht="32.25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7" cm="1">
        <f t="array" aca="1" ref="G207" ca="1">INDIRECT("'Worksheet 2'!$Y"&amp;$B205)</f>
        <v>0</v>
      </c>
      <c r="H207" s="447"/>
      <c r="I207" s="448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7"/>
      <c r="H208" s="447"/>
      <c r="I208" s="448"/>
      <c r="L208" s="166"/>
      <c r="M208" s="161" t="b">
        <f t="shared" ca="1" si="15"/>
        <v>0</v>
      </c>
      <c r="N208" s="42" t="s">
        <v>41</v>
      </c>
      <c r="O208" s="370"/>
      <c r="P208" s="449"/>
      <c r="Q208" s="451"/>
      <c r="R208" s="452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8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44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P2-36</v>
      </c>
    </row>
    <row r="212" spans="1:18" ht="15.75" customHeight="1">
      <c r="C212" s="164" t="s">
        <v>117</v>
      </c>
      <c r="D212" s="346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45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45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45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5"/>
    </row>
    <row r="214" spans="1:18" ht="15.75" customHeight="1">
      <c r="C214" s="164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46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46"/>
    </row>
    <row r="215" spans="1:18" ht="23.25">
      <c r="C215" s="348" cm="1">
        <f t="array" aca="1" ref="C215" ca="1">INDIRECT("'Worksheet 2'!$J"&amp;$B205)</f>
        <v>0</v>
      </c>
      <c r="D215" s="443" t="b" cm="1">
        <f t="array" aca="1" ref="D215" ca="1">IF(INDIRECT("'Worksheet 2'!$D"&amp;$B205)=1, "Left of Pair", IF(INDIRECT("'Worksheet 2'!$E"&amp;$B205)=1, "Panel"))</f>
        <v>0</v>
      </c>
      <c r="E215" s="443"/>
      <c r="F215" s="443"/>
      <c r="G215" s="374"/>
      <c r="H215" s="374" t="str" cm="1">
        <f t="array" aca="1" ref="H215" ca="1">IF(INDIRECT("'Worksheet 2'!$F"&amp;$B205)="st","SOR T&amp;B"," ")</f>
        <v xml:space="preserve"> </v>
      </c>
      <c r="I215" s="375"/>
      <c r="L215" s="41">
        <f ca="1">$C215</f>
        <v>0</v>
      </c>
      <c r="M215" s="443" t="b" cm="1">
        <f t="array" aca="1" ref="M215" ca="1">IF(INDIRECT("'Worksheet 2'!$D"&amp;$B205)=1, "Right of Pair", IF(INDIRECT("'Worksheet 2'!$E"&amp;$B205)=1, "Do Not Use"))</f>
        <v>0</v>
      </c>
      <c r="N215" s="443"/>
      <c r="O215" s="443"/>
      <c r="P215" s="374"/>
      <c r="Q215" s="374"/>
      <c r="R215" s="375"/>
    </row>
    <row r="217" spans="1:18" ht="19.5">
      <c r="A217" t="s">
        <v>45</v>
      </c>
      <c r="B217">
        <v>27</v>
      </c>
      <c r="C217" s="164" t="s">
        <v>113</v>
      </c>
      <c r="D217" s="21" t="str">
        <f>+'Worksheet 2'!$W$4</f>
        <v>Gregory Mill WO#C5364027-00086.01</v>
      </c>
      <c r="E217" s="22"/>
      <c r="F217" s="23"/>
      <c r="G217" s="22"/>
      <c r="H217" s="24"/>
      <c r="I217" s="25">
        <f>+'Worksheet 2'!$AR$1</f>
        <v>33517</v>
      </c>
      <c r="J217" s="26"/>
      <c r="L217" s="164" t="s">
        <v>113</v>
      </c>
      <c r="M217" s="21" t="str">
        <f>+'Worksheet 2'!$W$4</f>
        <v>Gregory Mill WO#C5364027-00086.01</v>
      </c>
      <c r="N217" s="22"/>
      <c r="O217" s="23"/>
      <c r="P217" s="22"/>
      <c r="Q217" s="24"/>
      <c r="R217" s="25">
        <f>+'Worksheet 2'!$AR$1</f>
        <v>33517</v>
      </c>
    </row>
    <row r="218" spans="1:18" ht="32.25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7" cm="1">
        <f t="array" aca="1" ref="G219" ca="1">INDIRECT("'Worksheet 2'!$Y"&amp;$B217)</f>
        <v>0</v>
      </c>
      <c r="H219" s="447"/>
      <c r="I219" s="448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7"/>
      <c r="H220" s="447"/>
      <c r="I220" s="448"/>
      <c r="L220" s="166"/>
      <c r="M220" s="161" t="b">
        <f t="shared" ca="1" si="16"/>
        <v>0</v>
      </c>
      <c r="N220" s="42" t="s">
        <v>41</v>
      </c>
      <c r="O220" s="370"/>
      <c r="P220" s="449"/>
      <c r="Q220" s="451"/>
      <c r="R220" s="452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8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44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P2-37</v>
      </c>
    </row>
    <row r="224" spans="1:18" ht="15.75" customHeight="1">
      <c r="C224" s="164" t="s">
        <v>117</v>
      </c>
      <c r="D224" s="346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45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45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45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5"/>
    </row>
    <row r="226" spans="1:18" ht="15.75" customHeight="1">
      <c r="C226" s="164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46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46"/>
    </row>
    <row r="227" spans="1:18" ht="23.25">
      <c r="C227" s="348" cm="1">
        <f t="array" aca="1" ref="C227" ca="1">INDIRECT("'Worksheet 2'!$J"&amp;$B217)</f>
        <v>0</v>
      </c>
      <c r="D227" s="443" t="b" cm="1">
        <f t="array" aca="1" ref="D227" ca="1">IF(INDIRECT("'Worksheet 2'!$D"&amp;$B217)=1, "Left of Pair", IF(INDIRECT("'Worksheet 2'!$E"&amp;$B217)=1, "Panel"))</f>
        <v>0</v>
      </c>
      <c r="E227" s="443"/>
      <c r="F227" s="443"/>
      <c r="G227" s="374"/>
      <c r="H227" s="374" t="str" cm="1">
        <f t="array" aca="1" ref="H227" ca="1">IF(INDIRECT("'Worksheet 2'!$F"&amp;$B217)="st","SOR T&amp;B"," ")</f>
        <v xml:space="preserve"> </v>
      </c>
      <c r="I227" s="375"/>
      <c r="L227" s="41">
        <f ca="1">$C227</f>
        <v>0</v>
      </c>
      <c r="M227" s="443" t="b" cm="1">
        <f t="array" aca="1" ref="M227" ca="1">IF(INDIRECT("'Worksheet 2'!$D"&amp;$B217)=1, "Right of Pair", IF(INDIRECT("'Worksheet 2'!$E"&amp;$B217)=1, "Do Not Use"))</f>
        <v>0</v>
      </c>
      <c r="N227" s="443"/>
      <c r="O227" s="443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+'Worksheet 2'!$W$4</f>
        <v>Gregory Mill WO#C5364027-00086.01</v>
      </c>
      <c r="E231" s="22"/>
      <c r="F231" s="23"/>
      <c r="G231" s="22"/>
      <c r="H231" s="24"/>
      <c r="I231" s="25">
        <f>+'Worksheet 2'!$AR$1</f>
        <v>33517</v>
      </c>
      <c r="J231" s="26"/>
      <c r="L231" s="164" t="s">
        <v>113</v>
      </c>
      <c r="M231" s="21" t="str">
        <f>+'Worksheet 2'!$W$4</f>
        <v>Gregory Mill WO#C5364027-00086.01</v>
      </c>
      <c r="N231" s="22"/>
      <c r="O231" s="23"/>
      <c r="P231" s="22"/>
      <c r="Q231" s="24"/>
      <c r="R231" s="25">
        <f>+'Worksheet 2'!$AR$1</f>
        <v>33517</v>
      </c>
    </row>
    <row r="232" spans="1:18" ht="32.25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7" cm="1">
        <f t="array" aca="1" ref="G233" ca="1">INDIRECT("'Worksheet 2'!$Y"&amp;$B231)</f>
        <v>0</v>
      </c>
      <c r="H233" s="447"/>
      <c r="I233" s="448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7"/>
      <c r="H234" s="447"/>
      <c r="I234" s="448"/>
      <c r="L234" s="166"/>
      <c r="M234" s="161" t="b">
        <f t="shared" ca="1" si="17"/>
        <v>0</v>
      </c>
      <c r="N234" s="42" t="s">
        <v>41</v>
      </c>
      <c r="O234" s="370"/>
      <c r="P234" s="449"/>
      <c r="Q234" s="451"/>
      <c r="R234" s="452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8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44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P2-38</v>
      </c>
    </row>
    <row r="238" spans="1:18" ht="15.75" customHeight="1">
      <c r="C238" s="164" t="s">
        <v>117</v>
      </c>
      <c r="D238" s="346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45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45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45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5"/>
    </row>
    <row r="240" spans="1:18" ht="15.75" customHeight="1">
      <c r="C240" s="164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46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46"/>
    </row>
    <row r="241" spans="1:18" ht="23.25">
      <c r="C241" s="348" cm="1">
        <f t="array" aca="1" ref="C241" ca="1">INDIRECT("'Worksheet 2'!$J"&amp;$B231)</f>
        <v>0</v>
      </c>
      <c r="D241" s="443" t="b" cm="1">
        <f t="array" aca="1" ref="D241" ca="1">IF(INDIRECT("'Worksheet 2'!$D"&amp;$B231)=1, "Left of Pair", IF(INDIRECT("'Worksheet 2'!$E"&amp;$B231)=1, "Panel"))</f>
        <v>0</v>
      </c>
      <c r="E241" s="443"/>
      <c r="F241" s="443"/>
      <c r="G241" s="374"/>
      <c r="H241" s="374" t="str" cm="1">
        <f t="array" aca="1" ref="H241" ca="1">IF(INDIRECT("'Worksheet 2'!$F"&amp;$B231)="st","SOR T&amp;B"," ")</f>
        <v xml:space="preserve"> </v>
      </c>
      <c r="I241" s="375"/>
      <c r="L241" s="41">
        <f ca="1">$C241</f>
        <v>0</v>
      </c>
      <c r="M241" s="443" t="b" cm="1">
        <f t="array" aca="1" ref="M241" ca="1">IF(INDIRECT("'Worksheet 2'!$D"&amp;$B231)=1, "Right of Pair", IF(INDIRECT("'Worksheet 2'!$E"&amp;$B231)=1, "Do Not Use"))</f>
        <v>0</v>
      </c>
      <c r="N241" s="443"/>
      <c r="O241" s="443"/>
      <c r="P241" s="374"/>
      <c r="Q241" s="374"/>
      <c r="R241" s="375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+'Worksheet 2'!$W$4</f>
        <v>Gregory Mill WO#C5364027-00086.01</v>
      </c>
      <c r="E245" s="22"/>
      <c r="F245" s="23"/>
      <c r="G245" s="22"/>
      <c r="H245" s="24"/>
      <c r="I245" s="25">
        <f>+'Worksheet 2'!$AR$1</f>
        <v>33517</v>
      </c>
      <c r="J245" s="26"/>
      <c r="L245" s="164" t="s">
        <v>113</v>
      </c>
      <c r="M245" s="21" t="str">
        <f>+'Worksheet 2'!$W$4</f>
        <v>Gregory Mill WO#C5364027-00086.01</v>
      </c>
      <c r="N245" s="22"/>
      <c r="O245" s="23"/>
      <c r="P245" s="22"/>
      <c r="Q245" s="24"/>
      <c r="R245" s="25">
        <f>+'Worksheet 2'!$AR$1</f>
        <v>33517</v>
      </c>
    </row>
    <row r="246" spans="1:18" ht="32.25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7" cm="1">
        <f t="array" aca="1" ref="G247" ca="1">INDIRECT("'Worksheet 2'!$Y"&amp;$B245)</f>
        <v>0</v>
      </c>
      <c r="H247" s="447"/>
      <c r="I247" s="448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7"/>
      <c r="H248" s="447"/>
      <c r="I248" s="448"/>
      <c r="L248" s="166"/>
      <c r="M248" s="161" t="b">
        <f t="shared" ca="1" si="18"/>
        <v>0</v>
      </c>
      <c r="N248" s="42" t="s">
        <v>41</v>
      </c>
      <c r="O248" s="370"/>
      <c r="P248" s="449"/>
      <c r="Q248" s="451"/>
      <c r="R248" s="452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8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44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P2-39</v>
      </c>
    </row>
    <row r="252" spans="1:18" ht="15.75" customHeight="1">
      <c r="C252" s="164" t="s">
        <v>117</v>
      </c>
      <c r="D252" s="346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45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45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45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5"/>
    </row>
    <row r="254" spans="1:18" ht="15.75" customHeight="1">
      <c r="C254" s="164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46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46"/>
    </row>
    <row r="255" spans="1:18" ht="23.25">
      <c r="C255" s="348" cm="1">
        <f t="array" aca="1" ref="C255" ca="1">INDIRECT("'Worksheet 2'!$J"&amp;$B245)</f>
        <v>0</v>
      </c>
      <c r="D255" s="443" t="b" cm="1">
        <f t="array" aca="1" ref="D255" ca="1">IF(INDIRECT("'Worksheet 2'!$D"&amp;$B245)=1, "Left of Pair", IF(INDIRECT("'Worksheet 2'!$E"&amp;$B245)=1, "Panel"))</f>
        <v>0</v>
      </c>
      <c r="E255" s="443"/>
      <c r="F255" s="443"/>
      <c r="G255" s="374"/>
      <c r="H255" s="374" t="str" cm="1">
        <f t="array" aca="1" ref="H255" ca="1">IF(INDIRECT("'Worksheet 2'!$F"&amp;$B245)="st","SOR T&amp;B"," ")</f>
        <v xml:space="preserve"> </v>
      </c>
      <c r="I255" s="375"/>
      <c r="L255" s="41">
        <f ca="1">$C255</f>
        <v>0</v>
      </c>
      <c r="M255" s="443" t="b" cm="1">
        <f t="array" aca="1" ref="M255" ca="1">IF(INDIRECT("'Worksheet 2'!$D"&amp;$B245)=1, "Right of Pair", IF(INDIRECT("'Worksheet 2'!$E"&amp;$B245)=1, "Do Not Use"))</f>
        <v>0</v>
      </c>
      <c r="N255" s="443"/>
      <c r="O255" s="443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+'Worksheet 2'!$W$4</f>
        <v>Gregory Mill WO#C5364027-00086.01</v>
      </c>
      <c r="E259" s="22"/>
      <c r="F259" s="23"/>
      <c r="G259" s="22"/>
      <c r="H259" s="24"/>
      <c r="I259" s="25">
        <f>+'Worksheet 2'!$AR$1</f>
        <v>33517</v>
      </c>
      <c r="J259" s="26"/>
      <c r="L259" s="164" t="s">
        <v>113</v>
      </c>
      <c r="M259" s="21" t="str">
        <f>+'Worksheet 2'!$W$4</f>
        <v>Gregory Mill WO#C5364027-00086.01</v>
      </c>
      <c r="N259" s="22"/>
      <c r="O259" s="23"/>
      <c r="P259" s="22"/>
      <c r="Q259" s="24"/>
      <c r="R259" s="25">
        <f>+'Worksheet 2'!$AR$1</f>
        <v>33517</v>
      </c>
    </row>
    <row r="260" spans="1:18" ht="32.25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7" cm="1">
        <f t="array" aca="1" ref="G261" ca="1">INDIRECT("'Worksheet 2'!$Y"&amp;$B259)</f>
        <v>0</v>
      </c>
      <c r="H261" s="447"/>
      <c r="I261" s="448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7"/>
      <c r="H262" s="447"/>
      <c r="I262" s="448"/>
      <c r="L262" s="166"/>
      <c r="M262" s="161" t="b">
        <f t="shared" ca="1" si="19"/>
        <v>0</v>
      </c>
      <c r="N262" s="42" t="s">
        <v>41</v>
      </c>
      <c r="O262" s="370"/>
      <c r="P262" s="449"/>
      <c r="Q262" s="451"/>
      <c r="R262" s="452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8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44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P2-40</v>
      </c>
    </row>
    <row r="266" spans="1:18" ht="15.75" customHeight="1">
      <c r="C266" s="164" t="s">
        <v>117</v>
      </c>
      <c r="D266" s="346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45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45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45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5"/>
    </row>
    <row r="268" spans="1:18" ht="15.75" customHeight="1">
      <c r="C268" s="164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46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46"/>
    </row>
    <row r="269" spans="1:18" ht="23.25">
      <c r="C269" s="348" cm="1">
        <f t="array" aca="1" ref="C269" ca="1">INDIRECT("'Worksheet 2'!$J"&amp;$B259)</f>
        <v>0</v>
      </c>
      <c r="D269" s="443" t="b" cm="1">
        <f t="array" aca="1" ref="D269" ca="1">IF(INDIRECT("'Worksheet 2'!$D"&amp;$B259)=1, "Left of Pair", IF(INDIRECT("'Worksheet 2'!$E"&amp;$B259)=1, "Panel"))</f>
        <v>0</v>
      </c>
      <c r="E269" s="443"/>
      <c r="F269" s="443"/>
      <c r="G269" s="374"/>
      <c r="H269" s="374" t="str" cm="1">
        <f t="array" aca="1" ref="H269" ca="1">IF(INDIRECT("'Worksheet 2'!$F"&amp;$B259)="st","SOR T&amp;B"," ")</f>
        <v xml:space="preserve"> </v>
      </c>
      <c r="I269" s="375"/>
      <c r="L269" s="41">
        <f ca="1">$C269</f>
        <v>0</v>
      </c>
      <c r="M269" s="443" t="b" cm="1">
        <f t="array" aca="1" ref="M269" ca="1">IF(INDIRECT("'Worksheet 2'!$D"&amp;$B259)=1, "Right of Pair", IF(INDIRECT("'Worksheet 2'!$E"&amp;$B259)=1, "Do Not Use"))</f>
        <v>0</v>
      </c>
      <c r="N269" s="443"/>
      <c r="O269" s="443"/>
      <c r="P269" s="374"/>
      <c r="Q269" s="374"/>
      <c r="R269" s="375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2025-03-19T19:46:22Z</cp:lastPrinted>
  <dcterms:created xsi:type="dcterms:W3CDTF">1997-04-14T18:07:46Z</dcterms:created>
  <dcterms:modified xsi:type="dcterms:W3CDTF">2025-05-20T22:03:30Z</dcterms:modified>
</cp:coreProperties>
</file>