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for EMCOR _ JLL\JLL\New Mexico\"/>
    </mc:Choice>
  </mc:AlternateContent>
  <xr:revisionPtr revIDLastSave="0" documentId="13_ncr:1_{9286BFBD-8AFB-4596-9618-1ECE4396F7FD}" xr6:coauthVersionLast="47" xr6:coauthVersionMax="47" xr10:uidLastSave="{00000000-0000-0000-0000-000000000000}"/>
  <bookViews>
    <workbookView xWindow="960" yWindow="720" windowWidth="19860" windowHeight="11100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(1)'!$C$1:$R$79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H106" i="30" a="1"/>
  <c r="I169" i="30" a="1"/>
  <c r="D129" i="30" a="1"/>
  <c r="G139" i="30" a="1"/>
  <c r="F206" i="30" a="1"/>
  <c r="H172" i="30" a="1"/>
  <c r="H246" i="30" a="1"/>
  <c r="D265" i="30" a="1"/>
  <c r="I35" i="30" a="1"/>
  <c r="D170" i="30" a="1"/>
  <c r="D211" i="30" a="1"/>
  <c r="I157" i="30" a="1"/>
  <c r="H51" i="30" a="1"/>
  <c r="D50" i="30" a="1"/>
  <c r="D138" i="30" a="1"/>
  <c r="H145" i="30" a="1"/>
  <c r="E145" i="30" a="1"/>
  <c r="I7" i="30" a="1"/>
  <c r="C173" i="30" a="1"/>
  <c r="E105" i="30" a="1"/>
  <c r="D237" i="30" a="1"/>
  <c r="D251" i="30" a="1"/>
  <c r="H38" i="30" a="1"/>
  <c r="D25" i="30" a="1"/>
  <c r="H255" i="30" a="1"/>
  <c r="I195" i="30" a="1"/>
  <c r="H159" i="30" a="1"/>
  <c r="D22" i="30" a="1"/>
  <c r="C187" i="30" a="1"/>
  <c r="E185" i="30" a="1"/>
  <c r="D38" i="30" a="1"/>
  <c r="D79" i="30" a="1"/>
  <c r="C269" i="30" a="1"/>
  <c r="D62" i="30" a="1"/>
  <c r="I223" i="30" a="1"/>
  <c r="H64" i="30" a="1"/>
  <c r="D158" i="30" a="1"/>
  <c r="H107" i="30" a="1"/>
  <c r="F30" i="30" a="1"/>
  <c r="F56" i="30" a="1"/>
  <c r="H226" i="30" a="1"/>
  <c r="C25" i="30" a="1"/>
  <c r="I129" i="30" a="1"/>
  <c r="G179" i="30" a="1"/>
  <c r="M79" i="30" a="1"/>
  <c r="M173" i="30" a="1"/>
  <c r="G261" i="30" a="1"/>
  <c r="C215" i="30" a="1"/>
  <c r="C147" i="30" a="1"/>
  <c r="D200" i="30" a="1"/>
  <c r="H173" i="30" a="1"/>
  <c r="H39" i="30" a="1"/>
  <c r="I183" i="30" a="1"/>
  <c r="D178" i="30" a="1"/>
  <c r="H187" i="30" a="1"/>
  <c r="D124" i="30" a="1"/>
  <c r="H200" i="30" a="1"/>
  <c r="H93" i="30" a="1"/>
  <c r="H9" i="30" a="1"/>
  <c r="D89" i="30" a="1"/>
  <c r="F232" i="30" a="1"/>
  <c r="D223" i="30" a="1"/>
  <c r="M227" i="30" a="1"/>
  <c r="E91" i="30" a="1"/>
  <c r="D172" i="30" a="1"/>
  <c r="C201" i="30" a="1"/>
  <c r="H186" i="30" a="1"/>
  <c r="H98" i="30" a="1"/>
  <c r="I235" i="30" a="1"/>
  <c r="D7" i="30" a="1"/>
  <c r="H79" i="30" a="1"/>
  <c r="H239" i="30" a="1"/>
  <c r="H138" i="30" a="1"/>
  <c r="M161" i="30" a="1"/>
  <c r="D119" i="30" a="1"/>
  <c r="H70" i="30" a="1"/>
  <c r="E171" i="30" a="1"/>
  <c r="D157" i="30" a="1"/>
  <c r="H119" i="30" a="1"/>
  <c r="D197" i="30" a="1"/>
  <c r="E51" i="30" a="1"/>
  <c r="D35" i="30" a="1"/>
  <c r="H44" i="30" a="1"/>
  <c r="I141" i="30" a="1"/>
  <c r="F70" i="30" a="1"/>
  <c r="D144" i="30" a="1"/>
  <c r="I221" i="30" a="1"/>
  <c r="H77" i="30" a="1"/>
  <c r="D93" i="30" a="1"/>
  <c r="D218" i="30" a="1"/>
  <c r="C65" i="30" a="1"/>
  <c r="D143" i="30" a="1"/>
  <c r="F164" i="30" a="1"/>
  <c r="D30" i="30" a="1"/>
  <c r="D147" i="30" a="1"/>
  <c r="H218" i="30" a="1"/>
  <c r="I211" i="30" a="1"/>
  <c r="M65" i="30" a="1"/>
  <c r="E117" i="30" a="1"/>
  <c r="D98" i="30" a="1"/>
  <c r="D254" i="30" a="1"/>
  <c r="D161" i="30" a="1"/>
  <c r="H110" i="30" a="1"/>
  <c r="I155" i="30" a="1"/>
  <c r="F178" i="30" a="1"/>
  <c r="E199" i="30" a="1"/>
  <c r="M107" i="30" a="1"/>
  <c r="H78" i="30" a="1"/>
  <c r="M269" i="30" a="1"/>
  <c r="C227" i="30" a="1"/>
  <c r="H25" i="30" a="1"/>
  <c r="I143" i="30" a="1"/>
  <c r="D226" i="30" a="1"/>
  <c r="D201" i="30" a="1"/>
  <c r="G111" i="30" a="1"/>
  <c r="H260" i="30" a="1"/>
  <c r="H267" i="30" a="1"/>
  <c r="H178" i="30" a="1"/>
  <c r="D21" i="30" a="1"/>
  <c r="H11" i="30" a="1"/>
  <c r="F124" i="30" a="1"/>
  <c r="H171" i="30" a="1"/>
  <c r="M201" i="30" a="1"/>
  <c r="D103" i="30" a="1"/>
  <c r="C133" i="30" a="1"/>
  <c r="I73" i="30" a="1"/>
  <c r="E9" i="30" a="1"/>
  <c r="I249" i="30" a="1"/>
  <c r="G125" i="30" a="1"/>
  <c r="I237" i="30" a="1"/>
  <c r="I87" i="30" a="1"/>
  <c r="D76" i="30" a="1"/>
  <c r="D39" i="30" a="1"/>
  <c r="C241" i="30" a="1"/>
  <c r="D64" i="30" a="1"/>
  <c r="C11" i="30" a="1"/>
  <c r="D36" i="30" a="1"/>
  <c r="D238" i="30" a="1"/>
  <c r="I113" i="30" a="1"/>
  <c r="H227" i="30" a="1"/>
  <c r="M39" i="30" a="1"/>
  <c r="D183" i="30" a="1"/>
  <c r="D241" i="30" a="1"/>
  <c r="D224" i="30" a="1"/>
  <c r="G165" i="30" a="1"/>
  <c r="D252" i="30" a="1"/>
  <c r="D56" i="30" a="1"/>
  <c r="I89" i="30" a="1"/>
  <c r="H131" i="30" a="1"/>
  <c r="E63" i="30" a="1"/>
  <c r="H240" i="30" a="1"/>
  <c r="D146" i="30" a="1"/>
  <c r="E253" i="30" a="1"/>
  <c r="H232" i="30" a="1"/>
  <c r="E77" i="30" a="1"/>
  <c r="H63" i="30" a="1"/>
  <c r="D44" i="30" a="1"/>
  <c r="D268" i="30" a="1"/>
  <c r="D118" i="30" a="1"/>
  <c r="G71" i="30" a="1"/>
  <c r="I33" i="30" a="1"/>
  <c r="E267" i="30" a="1"/>
  <c r="E239" i="30" a="1"/>
  <c r="F138" i="30" a="1"/>
  <c r="H147" i="30" a="1"/>
  <c r="D65" i="30" a="1"/>
  <c r="C107" i="30" a="1"/>
  <c r="G99" i="30" a="1"/>
  <c r="H52" i="30" a="1"/>
  <c r="H241" i="30" a="1"/>
  <c r="D61" i="30" a="1"/>
  <c r="H215" i="30" a="1"/>
  <c r="D186" i="30" a="1"/>
  <c r="D232" i="30" a="1"/>
  <c r="I251" i="30" a="1"/>
  <c r="I75" i="30" a="1"/>
  <c r="D260" i="30" a="1"/>
  <c r="H185" i="30" a="1"/>
  <c r="C79" i="30" a="1"/>
  <c r="C161" i="30" a="1"/>
  <c r="D78" i="30" a="1"/>
  <c r="D160" i="30" a="1"/>
  <c r="H65" i="30" a="1"/>
  <c r="G207" i="30" a="1"/>
  <c r="I21" i="30" a="1"/>
  <c r="D107" i="30" a="1"/>
  <c r="D110" i="30" a="1"/>
  <c r="D75" i="30" a="1"/>
  <c r="H23" i="30" a="1"/>
  <c r="H53" i="30" a="1"/>
  <c r="D133" i="30" a="1"/>
  <c r="I127" i="30" a="1"/>
  <c r="I167" i="30" a="1"/>
  <c r="H199" i="30" a="1"/>
  <c r="H161" i="30" a="1"/>
  <c r="D266" i="30" a="1"/>
  <c r="D206" i="30" a="1"/>
  <c r="H253" i="30" a="1"/>
  <c r="I209" i="30" a="1"/>
  <c r="F246" i="30" a="1"/>
  <c r="H2" i="30" a="1"/>
  <c r="D11" i="30" a="1"/>
  <c r="C119" i="30" a="1"/>
  <c r="D104" i="30" a="1"/>
  <c r="H118" i="30" a="1"/>
  <c r="H24" i="30" a="1"/>
  <c r="H105" i="30" a="1"/>
  <c r="M133" i="30" a="1"/>
  <c r="I181" i="30" a="1"/>
  <c r="E131" i="30" a="1"/>
  <c r="G233" i="30" a="1"/>
  <c r="D115" i="30" a="1"/>
  <c r="H146" i="30" a="1"/>
  <c r="D90" i="30" a="1"/>
  <c r="I197" i="30" a="1"/>
  <c r="H201" i="30" a="1"/>
  <c r="G17" i="30" a="1"/>
  <c r="D215" i="30" a="1"/>
  <c r="D106" i="30" a="1"/>
  <c r="I101" i="30" a="1"/>
  <c r="G219" i="30" a="1"/>
  <c r="D164" i="30" a="1"/>
  <c r="I263" i="30" a="1"/>
  <c r="D169" i="30" a="1"/>
  <c r="D8" i="30" a="1"/>
  <c r="F260" i="30" a="1"/>
  <c r="D227" i="30" a="1"/>
  <c r="H117" i="30" a="1"/>
  <c r="F84" i="30" a="1"/>
  <c r="H84" i="30" a="1"/>
  <c r="M119" i="30" a="1"/>
  <c r="H269" i="30" a="1"/>
  <c r="M25" i="30" a="1"/>
  <c r="H268" i="30" a="1"/>
  <c r="D116" i="30" a="1"/>
  <c r="G85" i="30" a="1"/>
  <c r="F44" i="30" a="1"/>
  <c r="D173" i="30" a="1"/>
  <c r="I61" i="30" a="1"/>
  <c r="H206" i="30" a="1"/>
  <c r="D16" i="30" a="1"/>
  <c r="D214" i="30" a="1"/>
  <c r="H214" i="30" a="1"/>
  <c r="C53" i="30" a="1"/>
  <c r="H91" i="30" a="1"/>
  <c r="F2" i="30" a="1"/>
  <c r="G45" i="30" a="1"/>
  <c r="E225" i="30" a="1"/>
  <c r="M147" i="30" a="1"/>
  <c r="F110" i="30" a="1"/>
  <c r="D255" i="30" a="1"/>
  <c r="H254" i="30" a="1"/>
  <c r="I49" i="30" a="1"/>
  <c r="H16" i="30" a="1"/>
  <c r="H192" i="30" a="1"/>
  <c r="H133" i="30" a="1"/>
  <c r="D49" i="30" a="1"/>
  <c r="F192" i="30" a="1"/>
  <c r="M241" i="30" a="1"/>
  <c r="D2" i="30" a="1"/>
  <c r="M215" i="30" a="1"/>
  <c r="D130" i="30" a="1"/>
  <c r="H225" i="30" a="1"/>
  <c r="M93" i="30" a="1"/>
  <c r="I103" i="30" a="1"/>
  <c r="H213" i="30" a="1"/>
  <c r="E23" i="30" a="1"/>
  <c r="E37" i="30" a="1"/>
  <c r="D212" i="30" a="1"/>
  <c r="C93" i="30" a="1"/>
  <c r="D192" i="30" a="1"/>
  <c r="M11" i="30" a="1"/>
  <c r="G193" i="30" a="1"/>
  <c r="H124" i="30" a="1"/>
  <c r="G31" i="30" a="1"/>
  <c r="D70" i="30" a="1"/>
  <c r="D184" i="30" a="1"/>
  <c r="H30" i="30" a="1"/>
  <c r="D152" i="30" a="1"/>
  <c r="I59" i="30" a="1"/>
  <c r="D24" i="30" a="1"/>
  <c r="G153" i="30" a="1"/>
  <c r="I115" i="30" a="1"/>
  <c r="G3" i="30" a="1"/>
  <c r="I19" i="30" a="1"/>
  <c r="D10" i="30" a="1"/>
  <c r="M255" i="30" a="1"/>
  <c r="D198" i="30" a="1"/>
  <c r="F218" i="30" a="1"/>
  <c r="F152" i="30" a="1"/>
  <c r="D269" i="30" a="1"/>
  <c r="I47" i="30" a="1"/>
  <c r="H92" i="30" a="1"/>
  <c r="C255" i="30" a="1"/>
  <c r="E213" i="30" a="1"/>
  <c r="H132" i="30" a="1"/>
  <c r="D132" i="30" a="1"/>
  <c r="D53" i="30" a="1"/>
  <c r="H164" i="30" a="1"/>
  <c r="E159" i="30" a="1"/>
  <c r="D240" i="30" a="1"/>
  <c r="H37" i="30" a="1"/>
  <c r="H10" i="30" a="1"/>
  <c r="C39" i="30" a="1"/>
  <c r="D52" i="30" a="1"/>
  <c r="F98" i="30" a="1"/>
  <c r="I265" i="30" a="1"/>
  <c r="G247" i="30" a="1"/>
  <c r="H160" i="30" a="1"/>
  <c r="M187" i="30" a="1"/>
  <c r="D187" i="30" a="1"/>
  <c r="H152" i="30" a="1"/>
  <c r="G57" i="30" a="1"/>
  <c r="D246" i="30" a="1"/>
  <c r="M53" i="30" a="1"/>
  <c r="H56" i="30" a="1"/>
  <c r="D92" i="30" a="1"/>
  <c r="F16" i="30" a="1"/>
  <c r="D84" i="30" a="1"/>
  <c r="D25" i="30" l="1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Q11" i="29" l="1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G85" i="9" a="1"/>
  <c r="D157" i="9" a="1"/>
  <c r="D76" i="9" a="1"/>
  <c r="G261" i="9" a="1"/>
  <c r="D146" i="9" a="1"/>
  <c r="M201" i="9" a="1"/>
  <c r="D215" i="9" a="1"/>
  <c r="F44" i="9" a="1"/>
  <c r="D147" i="9" a="1"/>
  <c r="F192" i="9" a="1"/>
  <c r="D103" i="9" a="1"/>
  <c r="E37" i="9" a="1"/>
  <c r="G153" i="9" a="1"/>
  <c r="D143" i="9" a="1"/>
  <c r="D223" i="9" a="1"/>
  <c r="H79" i="9" a="1"/>
  <c r="F178" i="9" a="1"/>
  <c r="D107" i="9" a="1"/>
  <c r="M227" i="9" a="1"/>
  <c r="D161" i="9" a="1"/>
  <c r="D265" i="9" a="1"/>
  <c r="F84" i="9" a="1"/>
  <c r="D11" i="9" a="1"/>
  <c r="M161" i="9" a="1"/>
  <c r="C201" i="9" a="1"/>
  <c r="D130" i="9" a="1"/>
  <c r="D106" i="9" a="1"/>
  <c r="G57" i="9" a="1"/>
  <c r="D61" i="9" a="1"/>
  <c r="G219" i="9" a="1"/>
  <c r="H93" i="9" a="1"/>
  <c r="E159" i="9" a="1"/>
  <c r="I5" i="30" a="1"/>
  <c r="D197" i="9" a="1"/>
  <c r="E253" i="9" a="1"/>
  <c r="C227" i="9" a="1"/>
  <c r="D144" i="9" a="1"/>
  <c r="H241" i="9" a="1"/>
  <c r="E185" i="9" a="1"/>
  <c r="H215" i="9" a="1"/>
  <c r="G165" i="9" a="1"/>
  <c r="C39" i="9" a="1"/>
  <c r="D172" i="9" a="1"/>
  <c r="H38" i="9" a="1"/>
  <c r="D104" i="9" a="1"/>
  <c r="E51" i="9" a="1"/>
  <c r="D25" i="9" a="1"/>
  <c r="D90" i="9" a="1"/>
  <c r="D21" i="9" a="1"/>
  <c r="C53" i="9" a="1"/>
  <c r="D64" i="9" a="1"/>
  <c r="E145" i="9" a="1"/>
  <c r="M173" i="9" a="1"/>
  <c r="D211" i="9" a="1"/>
  <c r="M269" i="9" a="1"/>
  <c r="D49" i="9" a="1"/>
  <c r="D65" i="9" a="1"/>
  <c r="E63" i="9" a="1"/>
  <c r="D158" i="9" a="1"/>
  <c r="D132" i="9" a="1"/>
  <c r="G31" i="9" a="1"/>
  <c r="C107" i="9" a="1"/>
  <c r="F138" i="9" a="1"/>
  <c r="M25" i="9" a="1"/>
  <c r="F246" i="9" a="1"/>
  <c r="D118" i="9" a="1"/>
  <c r="E171" i="9" a="1"/>
  <c r="H24" i="9" a="1"/>
  <c r="H255" i="9" a="1"/>
  <c r="G125" i="9" a="1"/>
  <c r="F206" i="9" a="1"/>
  <c r="C119" i="9" a="1"/>
  <c r="M241" i="9" a="1"/>
  <c r="D184" i="9" a="1"/>
  <c r="H227" i="9" a="1"/>
  <c r="H9" i="9" a="1"/>
  <c r="G99" i="9" a="1"/>
  <c r="E105" i="9" a="1"/>
  <c r="D241" i="9" a="1"/>
  <c r="F110" i="9" a="1"/>
  <c r="H187" i="9" a="1"/>
  <c r="G139" i="9" a="1"/>
  <c r="C187" i="9" a="1"/>
  <c r="C147" i="9" a="1"/>
  <c r="H161" i="9" a="1"/>
  <c r="D93" i="9" a="1"/>
  <c r="C173" i="9" a="1"/>
  <c r="D39" i="9" a="1"/>
  <c r="D62" i="9" a="1"/>
  <c r="G207" i="9" a="1"/>
  <c r="G233" i="9" a="1"/>
  <c r="D89" i="9" a="1"/>
  <c r="H10" i="9" a="1"/>
  <c r="D36" i="9" a="1"/>
  <c r="D8" i="9" a="1"/>
  <c r="D254" i="9" a="1"/>
  <c r="C255" i="9" a="1"/>
  <c r="C11" i="9" a="1"/>
  <c r="E225" i="9" a="1"/>
  <c r="E91" i="9" a="1"/>
  <c r="D160" i="9" a="1"/>
  <c r="F124" i="9" a="1"/>
  <c r="E9" i="9" a="1"/>
  <c r="H30" i="9" a="1"/>
  <c r="M93" i="9" a="1"/>
  <c r="D78" i="9" a="1"/>
  <c r="D252" i="9" a="1"/>
  <c r="D227" i="9" a="1"/>
  <c r="F232" i="9" a="1"/>
  <c r="H133" i="9" a="1"/>
  <c r="D92" i="9" a="1"/>
  <c r="H16" i="9" a="1"/>
  <c r="C161" i="9" a="1"/>
  <c r="H147" i="9" a="1"/>
  <c r="D115" i="9" a="1"/>
  <c r="F152" i="9" a="1"/>
  <c r="D183" i="9" a="1"/>
  <c r="F56" i="9" a="1"/>
  <c r="G179" i="9" a="1"/>
  <c r="E131" i="9" a="1"/>
  <c r="D237" i="9" a="1"/>
  <c r="F218" i="9" a="1"/>
  <c r="M11" i="9" a="1"/>
  <c r="H11" i="9" a="1"/>
  <c r="C65" i="9" a="1"/>
  <c r="D201" i="9" a="1"/>
  <c r="E267" i="9" a="1"/>
  <c r="H53" i="9" a="1"/>
  <c r="M53" i="9" a="1"/>
  <c r="G247" i="9" a="1"/>
  <c r="H119" i="9" a="1"/>
  <c r="G71" i="9" a="1"/>
  <c r="M65" i="9" a="1"/>
  <c r="M119" i="9" a="1"/>
  <c r="F98" i="9" a="1"/>
  <c r="H2" i="9" a="1"/>
  <c r="H39" i="9" a="1"/>
  <c r="G17" i="9" a="1"/>
  <c r="H173" i="9" a="1"/>
  <c r="F70" i="9" a="1"/>
  <c r="D22" i="9" a="1"/>
  <c r="D224" i="9" a="1"/>
  <c r="M255" i="9" a="1"/>
  <c r="E199" i="9" a="1"/>
  <c r="E77" i="9" a="1"/>
  <c r="D75" i="9" a="1"/>
  <c r="G3" i="9" a="1"/>
  <c r="E117" i="9" a="1"/>
  <c r="M107" i="9" a="1"/>
  <c r="D170" i="9" a="1"/>
  <c r="G45" i="9" a="1"/>
  <c r="D52" i="9" a="1"/>
  <c r="D173" i="9" a="1"/>
  <c r="D186" i="9" a="1"/>
  <c r="D53" i="9" a="1"/>
  <c r="C25" i="9" a="1"/>
  <c r="D226" i="9" a="1"/>
  <c r="D238" i="9" a="1"/>
  <c r="D212" i="9" a="1"/>
  <c r="H65" i="9" a="1"/>
  <c r="D133" i="9" a="1"/>
  <c r="D251" i="9" a="1"/>
  <c r="D214" i="9" a="1"/>
  <c r="C241" i="9" a="1"/>
  <c r="C79" i="9" a="1"/>
  <c r="D10" i="9" a="1"/>
  <c r="D187" i="9" a="1"/>
  <c r="H25" i="9" a="1"/>
  <c r="M133" i="9" a="1"/>
  <c r="D268" i="9" a="1"/>
  <c r="G111" i="9" a="1"/>
  <c r="D169" i="9" a="1"/>
  <c r="D24" i="9" a="1"/>
  <c r="D35" i="9" a="1"/>
  <c r="D266" i="9" a="1"/>
  <c r="H201" i="9" a="1"/>
  <c r="D240" i="9" a="1"/>
  <c r="G193" i="9" a="1"/>
  <c r="C93" i="9" a="1"/>
  <c r="C215" i="9" a="1"/>
  <c r="D38" i="9" a="1"/>
  <c r="D200" i="9" a="1"/>
  <c r="D79" i="9" a="1"/>
  <c r="C269" i="9" a="1"/>
  <c r="M39" i="9" a="1"/>
  <c r="M215" i="9" a="1"/>
  <c r="M187" i="9" a="1"/>
  <c r="H269" i="9" a="1"/>
  <c r="E23" i="9" a="1"/>
  <c r="F164" i="9" a="1"/>
  <c r="D269" i="9" a="1"/>
  <c r="D255" i="9" a="1"/>
  <c r="C133" i="9" a="1"/>
  <c r="D119" i="9" a="1"/>
  <c r="E213" i="9" a="1"/>
  <c r="D129" i="9" a="1"/>
  <c r="D50" i="9" a="1"/>
  <c r="M79" i="9" a="1"/>
  <c r="D7" i="9" a="1"/>
  <c r="M147" i="9" a="1"/>
  <c r="D198" i="9" a="1"/>
  <c r="D116" i="9" a="1"/>
  <c r="F260" i="9" a="1"/>
  <c r="E239" i="9" a="1"/>
  <c r="H107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4" i="9" a="1"/>
  <c r="H77" i="9" a="1"/>
  <c r="H185" i="9" a="1"/>
  <c r="H253" i="9" a="1"/>
  <c r="H225" i="9" a="1"/>
  <c r="H131" i="9" a="1"/>
  <c r="H171" i="9" a="1"/>
  <c r="H37" i="9" a="1"/>
  <c r="H63" i="9" a="1"/>
  <c r="H267" i="9" a="1"/>
  <c r="H145" i="9" a="1"/>
  <c r="D18" i="9" a="1"/>
  <c r="H23" i="9" a="1"/>
  <c r="H213" i="9" a="1"/>
  <c r="H105" i="9" a="1"/>
  <c r="H159" i="9" a="1"/>
  <c r="H239" i="9" a="1"/>
  <c r="H199" i="9" a="1"/>
  <c r="H117" i="9" a="1"/>
  <c r="H91" i="9" a="1"/>
  <c r="I19" i="9" a="1"/>
  <c r="H51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18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14" i="9" a="1"/>
  <c r="D60" i="9" a="1"/>
  <c r="D48" i="9" a="1"/>
  <c r="D7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19" i="9" l="1"/>
  <c r="M19" i="9" s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D17" i="15"/>
  <c r="U17" i="15" s="1"/>
  <c r="D18" i="15"/>
  <c r="U18" i="15" s="1"/>
  <c r="D19" i="15"/>
  <c r="U19" i="15" s="1"/>
  <c r="D20" i="15"/>
  <c r="U20" i="15" s="1"/>
  <c r="D21" i="15"/>
  <c r="U21" i="15" s="1"/>
  <c r="D22" i="15"/>
  <c r="D23" i="15"/>
  <c r="D24" i="15"/>
  <c r="U24" i="15" s="1"/>
  <c r="D25" i="15"/>
  <c r="U25" i="15" s="1"/>
  <c r="D26" i="15"/>
  <c r="D27" i="15"/>
  <c r="D28" i="15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U14" i="15" l="1"/>
  <c r="BA13" i="1"/>
  <c r="S13" i="1"/>
  <c r="U28" i="15"/>
  <c r="U16" i="15"/>
  <c r="L20" i="15"/>
  <c r="U27" i="15"/>
  <c r="L11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D34" i="9" a="1"/>
  <c r="D34" i="9" l="1"/>
  <c r="AA13" i="1"/>
  <c r="BB13" i="1"/>
  <c r="Q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14" i="9" a="1"/>
  <c r="H268" i="9" a="1"/>
  <c r="H226" i="9" a="1"/>
  <c r="H186" i="9" a="1"/>
  <c r="H78" i="9" a="1"/>
  <c r="I33" i="9" a="1"/>
  <c r="H64" i="9" a="1"/>
  <c r="H254" i="9" a="1"/>
  <c r="H132" i="9" a="1"/>
  <c r="D32" i="9" a="1"/>
  <c r="H52" i="9" a="1"/>
  <c r="H118" i="9" a="1"/>
  <c r="H200" i="9" a="1"/>
  <c r="H172" i="9" a="1"/>
  <c r="H240" i="9" a="1"/>
  <c r="H160" i="9" a="1"/>
  <c r="H146" i="9" a="1"/>
  <c r="H92" i="9" a="1"/>
  <c r="H106" i="9" a="1"/>
  <c r="D32" i="9" l="1"/>
  <c r="I33" i="9"/>
  <c r="D33" i="9"/>
  <c r="M33" i="9" s="1"/>
  <c r="M34" i="9"/>
  <c r="H254" i="9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AA15" i="1" s="1"/>
  <c r="BA18" i="1"/>
  <c r="BA14" i="1"/>
  <c r="AA14" i="1" s="1"/>
  <c r="AA19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 s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126" i="9" a="1"/>
  <c r="D58" i="9" a="1"/>
  <c r="I169" i="9" a="1"/>
  <c r="I237" i="9" a="1"/>
  <c r="I221" i="9" a="1"/>
  <c r="I211" i="9" a="1"/>
  <c r="I155" i="9" a="1"/>
  <c r="I157" i="9" a="1"/>
  <c r="I61" i="9" a="1"/>
  <c r="I21" i="9" a="1"/>
  <c r="I197" i="9" a="1"/>
  <c r="I195" i="9" a="1"/>
  <c r="I59" i="9" a="1"/>
  <c r="I143" i="9" a="1"/>
  <c r="D46" i="9" a="1"/>
  <c r="I209" i="9" a="1"/>
  <c r="I249" i="9" a="1"/>
  <c r="I115" i="9" a="1"/>
  <c r="I73" i="9" a="1"/>
  <c r="I223" i="9" a="1"/>
  <c r="I89" i="9" a="1"/>
  <c r="I35" i="9" a="1"/>
  <c r="I263" i="9" a="1"/>
  <c r="I265" i="9" a="1"/>
  <c r="I251" i="9" a="1"/>
  <c r="I141" i="9" a="1"/>
  <c r="I113" i="9" a="1"/>
  <c r="I129" i="9" a="1"/>
  <c r="D72" i="9" a="1"/>
  <c r="I183" i="9" a="1"/>
  <c r="I7" i="9" a="1"/>
  <c r="I49" i="9" a="1"/>
  <c r="I47" i="9" a="1"/>
  <c r="I167" i="9" a="1"/>
  <c r="I101" i="9" a="1"/>
  <c r="I127" i="9" a="1"/>
  <c r="I103" i="9" a="1"/>
  <c r="I87" i="9" a="1"/>
  <c r="I75" i="9" a="1"/>
  <c r="I235" i="9" a="1"/>
  <c r="I181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AN16" i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56" i="9" a="1"/>
  <c r="D110" i="9" a="1"/>
  <c r="D152" i="9" a="1"/>
  <c r="D178" i="9" a="1"/>
  <c r="H218" i="9" a="1"/>
  <c r="H178" i="9" a="1"/>
  <c r="H110" i="9" a="1"/>
  <c r="H138" i="9" a="1"/>
  <c r="D260" i="9" a="1"/>
  <c r="H44" i="9" a="1"/>
  <c r="D138" i="9" a="1"/>
  <c r="D192" i="9" a="1"/>
  <c r="D206" i="9" a="1"/>
  <c r="D84" i="9" a="1"/>
  <c r="D218" i="9" a="1"/>
  <c r="H124" i="9" a="1"/>
  <c r="D44" i="9" a="1"/>
  <c r="H70" i="9" a="1"/>
  <c r="H152" i="9" a="1"/>
  <c r="H56" i="9" a="1"/>
  <c r="H232" i="9" a="1"/>
  <c r="H192" i="9" a="1"/>
  <c r="H246" i="9" a="1"/>
  <c r="D30" i="9" a="1"/>
  <c r="H260" i="9" a="1"/>
  <c r="H84" i="9" a="1"/>
  <c r="D16" i="9" a="1"/>
  <c r="D70" i="9" a="1"/>
  <c r="D98" i="9" a="1"/>
  <c r="D246" i="9" a="1"/>
  <c r="H164" i="9" a="1"/>
  <c r="D232" i="9" a="1"/>
  <c r="H206" i="9" a="1"/>
  <c r="D164" i="9" a="1"/>
  <c r="H98" i="9" a="1"/>
  <c r="D124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<sst xmlns="http://schemas.openxmlformats.org/spreadsheetml/2006/main" count="4526" uniqueCount="2624">
  <si>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</si>
  <si>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</si>
  <si>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</si>
  <si>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</si>
  <si>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</si>
  <si>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</si>
  <si>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</si>
  <si>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</si>
  <si>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</si>
  <si>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</si>
  <si>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</si>
  <si>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</si>
  <si>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</si>
  <si>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</si>
  <si>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</si>
  <si>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</si>
  <si>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</si>
  <si>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</si>
  <si>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</si>
  <si>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</si>
  <si>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</si>
  <si>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</si>
  <si>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</si>
  <si>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</si>
  <si>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</si>
  <si>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</si>
  <si>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</si>
  <si>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</si>
  <si>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</si>
  <si>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</si>
  <si>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</si>
  <si>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</si>
  <si>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</si>
  <si>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</si>
  <si>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</si>
  <si>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</si>
  <si>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</si>
  <si>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</si>
  <si>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</si>
  <si>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</si>
  <si>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</si>
  <si>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</si>
  <si>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</si>
  <si>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</si>
  <si>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</si>
  <si>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</si>
  <si>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</si>
  <si>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</si>
  <si>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</si>
  <si>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</si>
  <si>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</si>
  <si>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</si>
  <si>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</si>
  <si>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</si>
  <si>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</si>
  <si>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</si>
  <si>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</si>
  <si>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</si>
  <si>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</si>
  <si>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</si>
  <si>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</si>
  <si>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</si>
  <si>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</si>
  <si>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</si>
  <si>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</si>
  <si>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</si>
  <si>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</si>
  <si>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</si>
  <si>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</si>
  <si>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</si>
  <si>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</si>
  <si>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</si>
  <si>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</si>
  <si>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</si>
  <si>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</si>
  <si>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</si>
  <si>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</si>
  <si>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</si>
  <si>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</si>
  <si>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</si>
  <si>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</si>
  <si>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</si>
  <si>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</si>
  <si>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</si>
  <si>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</si>
  <si>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</si>
  <si>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</si>
  <si>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</si>
  <si>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</si>
  <si>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</si>
  <si>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</si>
  <si>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</si>
  <si>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</si>
  <si>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</si>
  <si>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</si>
  <si>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</si>
  <si>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</si>
  <si>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</si>
  <si>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</si>
  <si>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</si>
  <si>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</si>
  <si>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</si>
  <si>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</si>
  <si>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</si>
  <si>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</si>
  <si>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</si>
  <si>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</si>
  <si>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</si>
  <si>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</si>
  <si>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</si>
  <si>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</si>
  <si>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</si>
  <si>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</si>
  <si>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</si>
  <si>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</si>
  <si>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</si>
  <si>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</si>
  <si>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</si>
  <si>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</si>
  <si>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</si>
  <si>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</si>
  <si>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</si>
  <si>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</si>
  <si>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</si>
  <si>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</si>
  <si>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</si>
  <si>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</si>
  <si>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</si>
  <si>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</si>
  <si>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</si>
  <si>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</si>
  <si>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</si>
  <si>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</si>
  <si>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</si>
  <si>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</si>
  <si>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</si>
  <si>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</si>
  <si>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</si>
  <si>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</si>
  <si>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</si>
  <si>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</si>
  <si>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</si>
  <si>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</si>
  <si>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</si>
  <si>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</si>
  <si>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</si>
  <si>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</si>
  <si>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</si>
  <si>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</si>
  <si>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</si>
  <si>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</si>
  <si>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</si>
  <si>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</si>
  <si>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</si>
  <si>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</si>
  <si>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</si>
  <si>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</si>
  <si>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</si>
  <si>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</si>
  <si>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</si>
  <si>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</si>
  <si>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</si>
  <si>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</si>
  <si>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</si>
  <si>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</si>
  <si>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</si>
  <si>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</si>
  <si>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</si>
  <si>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</si>
  <si>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</si>
  <si>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</si>
  <si>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</si>
  <si>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</si>
  <si>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</si>
  <si>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</si>
  <si>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</si>
  <si>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</si>
  <si>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</si>
  <si>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</si>
  <si>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</si>
  <si>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</si>
  <si>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</si>
  <si>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</si>
  <si>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</si>
  <si>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</si>
  <si>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</si>
  <si>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</si>
  <si>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</si>
  <si>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</si>
  <si>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</si>
  <si>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</si>
  <si>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</si>
  <si>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</si>
  <si>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</si>
  <si>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</si>
  <si>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</si>
  <si>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</si>
  <si>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</si>
  <si>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</si>
  <si>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</si>
  <si>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</si>
  <si>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</si>
  <si>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</si>
  <si>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</si>
  <si>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</si>
  <si>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</si>
  <si>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</si>
  <si>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</si>
  <si>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</si>
  <si>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</si>
  <si>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</si>
  <si>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</si>
  <si>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</si>
  <si>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</si>
  <si>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</si>
  <si>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</si>
  <si>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</si>
  <si>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</si>
  <si>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</si>
  <si>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</si>
  <si>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</si>
  <si>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</si>
  <si>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</si>
  <si>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</si>
  <si>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</si>
  <si>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</si>
  <si>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</si>
  <si>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</si>
  <si>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</si>
  <si>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</si>
  <si>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</si>
  <si>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</si>
  <si>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</si>
  <si>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</si>
  <si>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</si>
  <si>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</si>
  <si>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</si>
  <si>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</si>
  <si>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</si>
  <si>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</si>
  <si>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</si>
  <si>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</si>
  <si>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</si>
  <si>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</si>
  <si>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</si>
  <si>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</si>
  <si>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</si>
  <si>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</si>
  <si>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</si>
  <si>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</si>
  <si>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</si>
  <si>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</si>
  <si>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</si>
  <si>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</si>
  <si>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</si>
  <si>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</si>
  <si>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</si>
  <si>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</si>
  <si>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</si>
  <si>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</si>
  <si>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</si>
  <si>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</si>
  <si>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</si>
  <si>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</si>
  <si>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</si>
  <si>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</si>
  <si>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</si>
  <si>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</si>
  <si>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</si>
  <si>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</si>
  <si>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</si>
  <si>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</si>
  <si>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</si>
  <si>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</si>
  <si>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</si>
  <si>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</si>
  <si>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</si>
  <si>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</si>
  <si>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</si>
  <si>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</si>
  <si>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</si>
  <si>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</si>
  <si>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</si>
  <si>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</si>
  <si>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</si>
  <si>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</si>
  <si>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</si>
  <si>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</si>
  <si>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</si>
  <si>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</si>
  <si>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</si>
  <si>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</si>
  <si>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</si>
  <si>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</si>
  <si>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</si>
  <si>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</si>
  <si>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</si>
  <si>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</si>
  <si>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</si>
  <si>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</si>
  <si>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</si>
  <si>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</si>
  <si>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</si>
  <si>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</si>
  <si>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</si>
  <si>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</si>
  <si>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</si>
  <si>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</si>
  <si>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</si>
  <si>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</si>
  <si>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</si>
  <si>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</si>
  <si>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</si>
  <si>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</si>
  <si>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</si>
  <si>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</si>
  <si>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</si>
  <si>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</si>
  <si>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</si>
  <si>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</si>
  <si>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</si>
  <si>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</si>
  <si>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</si>
  <si>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</si>
  <si>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</si>
  <si>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</si>
  <si>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</si>
  <si>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</si>
  <si>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</si>
  <si>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</si>
  <si>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</si>
  <si>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</si>
  <si>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</si>
  <si>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</si>
  <si>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</si>
  <si>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</si>
  <si>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</si>
  <si>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</si>
  <si>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</si>
  <si>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</si>
  <si>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</si>
  <si>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</si>
  <si>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</si>
  <si>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</si>
  <si>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</si>
  <si>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</si>
  <si>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</si>
  <si>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</si>
  <si>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</si>
  <si>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</si>
  <si>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</si>
  <si>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</si>
  <si>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</si>
  <si>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</si>
  <si>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</si>
  <si>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</si>
  <si>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</si>
  <si>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</si>
  <si>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</si>
  <si>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</si>
  <si>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</si>
  <si>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</si>
  <si>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</si>
  <si>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</si>
  <si>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</si>
  <si>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</si>
  <si>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</si>
  <si>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</si>
  <si>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</si>
  <si>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</si>
  <si>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</si>
  <si>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</si>
  <si>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</si>
  <si>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</si>
  <si>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</si>
  <si>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</si>
  <si>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</si>
  <si>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</si>
  <si>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</si>
  <si>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</si>
  <si>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</si>
  <si>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</si>
  <si>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</si>
  <si>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</si>
  <si>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</si>
  <si>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</si>
  <si>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</si>
  <si>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</si>
  <si>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</si>
  <si>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</si>
  <si>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</si>
  <si>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</si>
  <si>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</si>
  <si>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</si>
  <si>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</si>
  <si>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</si>
  <si>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</si>
  <si>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</si>
  <si>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</si>
  <si>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</si>
  <si>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</si>
  <si>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</si>
  <si>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</si>
  <si>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</si>
  <si>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</si>
  <si>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</si>
  <si>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</si>
  <si>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</si>
  <si>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</si>
  <si>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</si>
  <si>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</si>
  <si>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</si>
  <si>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</si>
  <si>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</si>
  <si>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</si>
  <si>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</si>
  <si>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</si>
  <si>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</si>
  <si>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</si>
  <si>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</si>
  <si>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</si>
  <si>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</si>
  <si>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</si>
  <si>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</si>
  <si>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</si>
  <si>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</si>
  <si>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</si>
  <si>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</si>
  <si>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</si>
  <si>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</si>
  <si>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</si>
  <si>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</si>
  <si>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</si>
  <si>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</si>
  <si>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</si>
  <si>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</si>
  <si>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</si>
  <si>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</si>
  <si>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</si>
  <si>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</si>
  <si>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</si>
  <si>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</si>
  <si>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</si>
  <si>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</si>
  <si>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</si>
  <si>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</si>
  <si>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</si>
  <si>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</si>
  <si>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</si>
  <si>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</si>
  <si>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</si>
  <si>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</si>
  <si>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</si>
  <si>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</si>
  <si>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</si>
  <si>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</si>
  <si>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</si>
  <si>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</si>
  <si>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</si>
  <si>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</si>
  <si>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</si>
  <si>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</si>
  <si>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</si>
  <si>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</si>
  <si>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</si>
  <si>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</si>
  <si>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</si>
  <si>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</si>
  <si>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</si>
  <si>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</si>
  <si>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</si>
  <si>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</si>
  <si>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</si>
  <si>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</si>
  <si>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</si>
  <si>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</si>
  <si>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</si>
  <si>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</si>
  <si>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</si>
  <si>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</si>
  <si>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</si>
  <si>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</si>
  <si>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</si>
  <si>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</si>
  <si>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</si>
  <si>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</si>
  <si>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</si>
  <si>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</si>
  <si>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</si>
  <si>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</si>
  <si>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</si>
  <si>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</si>
  <si>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</si>
  <si>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</si>
  <si>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</si>
  <si>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</si>
  <si>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</si>
  <si>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</si>
  <si>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</si>
  <si>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</si>
  <si>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</si>
  <si>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</si>
  <si>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</si>
  <si>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</si>
  <si>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</si>
  <si>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</si>
  <si>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</si>
  <si>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</si>
  <si>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</si>
  <si>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</si>
  <si>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</si>
  <si>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</si>
  <si>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</si>
  <si>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</si>
  <si>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</si>
  <si>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</si>
  <si>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</si>
  <si>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</si>
  <si>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</si>
  <si>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</si>
  <si>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</si>
  <si>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</si>
  <si>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</si>
  <si>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</si>
  <si>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</si>
  <si>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</si>
  <si>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</si>
  <si>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</si>
  <si>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</si>
  <si>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</si>
  <si>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</si>
  <si>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</si>
  <si>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</si>
  <si>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</si>
  <si>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</si>
  <si>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</si>
  <si>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</si>
  <si>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</si>
  <si>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</si>
  <si>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</si>
  <si>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</si>
  <si>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</si>
  <si>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</si>
  <si>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</si>
  <si>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</si>
  <si>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</si>
  <si>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</si>
  <si>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</si>
  <si>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</si>
  <si>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</si>
  <si>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</si>
  <si>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</si>
  <si>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</si>
  <si>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</si>
  <si>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</si>
  <si>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</si>
  <si>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</si>
  <si>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</si>
  <si>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</si>
  <si>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</si>
  <si>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</si>
  <si>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</si>
  <si>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</si>
  <si>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</si>
  <si>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</si>
  <si>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</si>
  <si>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</si>
  <si>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</si>
  <si>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</si>
  <si>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</si>
  <si>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</si>
  <si>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</si>
  <si>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</si>
  <si>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</si>
  <si>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</si>
  <si>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</si>
  <si>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</si>
  <si>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</si>
  <si>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</si>
  <si>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</si>
  <si>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</si>
  <si>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</si>
  <si>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</si>
  <si>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</si>
  <si>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</si>
  <si>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</si>
  <si>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</si>
  <si>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</si>
  <si>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</si>
  <si>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</si>
  <si>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</si>
  <si>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</si>
  <si>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</si>
  <si>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</si>
  <si>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</si>
  <si>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</si>
  <si>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</si>
  <si>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</si>
  <si>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</si>
  <si>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</si>
  <si>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</si>
  <si>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</si>
  <si>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</si>
  <si>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</si>
  <si>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</si>
  <si>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</si>
  <si>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</si>
  <si>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</si>
  <si>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</si>
  <si>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</si>
  <si>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</si>
  <si>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</si>
  <si>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</si>
  <si>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</si>
  <si>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</si>
  <si>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</si>
  <si>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</si>
  <si>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</si>
  <si>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</si>
  <si>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</si>
  <si>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</si>
  <si>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</si>
  <si>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</si>
  <si>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</si>
  <si>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</si>
  <si>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</si>
  <si>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</si>
  <si>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</si>
  <si>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</si>
  <si>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</si>
  <si>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</si>
  <si>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</si>
  <si>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</si>
  <si>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</si>
  <si>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</si>
  <si>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</si>
  <si>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</si>
  <si>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</si>
  <si>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</si>
  <si>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</si>
  <si>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</si>
  <si>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</si>
  <si>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</si>
  <si>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</si>
  <si>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</si>
  <si>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</si>
  <si>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</si>
  <si>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</si>
  <si>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</si>
  <si>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</si>
  <si>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</si>
  <si>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</si>
  <si>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</si>
  <si>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</si>
  <si>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</si>
  <si>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</si>
  <si>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</si>
  <si>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</si>
  <si>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</si>
  <si>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</si>
  <si>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</si>
  <si>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</si>
  <si>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</si>
  <si>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</si>
  <si>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</si>
  <si>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</si>
  <si>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</si>
  <si>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</si>
  <si>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</si>
  <si>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</si>
  <si>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</si>
  <si>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</si>
  <si>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</si>
  <si>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</si>
  <si>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</si>
  <si>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</si>
  <si>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</si>
  <si>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</si>
  <si>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</si>
  <si>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</si>
  <si>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</si>
  <si>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</si>
  <si>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</si>
  <si>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</si>
  <si>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</si>
  <si>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</si>
  <si>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</si>
  <si>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</si>
  <si>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</si>
  <si>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</si>
  <si>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</si>
  <si>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</si>
  <si>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</si>
  <si>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</si>
  <si>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</si>
  <si>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</si>
  <si>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</si>
  <si>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</si>
  <si>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</si>
  <si>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</si>
  <si>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</si>
  <si>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</si>
  <si>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</si>
  <si>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</si>
  <si>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</si>
  <si>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</si>
  <si>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</si>
  <si>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</si>
  <si>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</si>
  <si>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</si>
  <si>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</si>
  <si>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</si>
  <si>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</si>
  <si>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</si>
  <si>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</si>
  <si>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</si>
  <si>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</si>
  <si>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</si>
  <si>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</si>
  <si>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</si>
  <si>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</si>
  <si>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</si>
  <si>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</si>
  <si>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</si>
  <si>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</si>
  <si>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</si>
  <si>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</si>
  <si>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</si>
  <si>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</si>
  <si>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</si>
  <si>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</si>
  <si>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</si>
  <si>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</si>
  <si>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</si>
  <si>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</si>
  <si>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</si>
  <si>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</si>
  <si>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</si>
  <si>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</si>
  <si>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</si>
  <si>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</si>
  <si>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</si>
  <si>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</si>
  <si>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</si>
  <si>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</si>
  <si>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</si>
  <si>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</si>
  <si>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</si>
  <si>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</si>
  <si>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</si>
  <si>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</si>
  <si>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</si>
  <si>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</si>
  <si>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</si>
  <si>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</si>
  <si>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</si>
  <si>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</si>
  <si>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</si>
  <si>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</si>
  <si>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</si>
  <si>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</si>
  <si>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</si>
  <si>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</si>
  <si>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</si>
  <si>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</si>
  <si>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</si>
  <si>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</si>
  <si>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</si>
  <si>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</si>
  <si>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</si>
  <si>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</si>
  <si>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</si>
  <si>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</si>
  <si>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</si>
  <si>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</si>
  <si>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</si>
  <si>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</si>
  <si>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</si>
  <si>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</si>
  <si>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</si>
  <si>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</si>
  <si>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</si>
  <si>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</si>
  <si>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</si>
  <si>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</si>
  <si>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</si>
  <si>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</si>
  <si>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</si>
  <si>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</si>
  <si>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</si>
  <si>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</si>
  <si>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</si>
  <si>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</si>
  <si>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</si>
  <si>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</si>
  <si>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</si>
  <si>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</si>
  <si>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</si>
  <si>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</si>
  <si>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</si>
  <si>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</si>
  <si>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</si>
  <si>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</si>
  <si>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</si>
  <si>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</si>
  <si>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</si>
  <si>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</si>
  <si>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</si>
  <si>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</si>
  <si>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</si>
  <si>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</si>
  <si>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</si>
  <si>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</si>
  <si>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</si>
  <si>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</si>
  <si>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</si>
  <si>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</si>
  <si>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</si>
  <si>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</si>
  <si>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</si>
  <si>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</si>
  <si>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</si>
  <si>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</si>
  <si>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</si>
  <si>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</si>
  <si>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</si>
  <si>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</si>
  <si>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</si>
  <si>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</si>
  <si>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</si>
  <si>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</si>
  <si>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</si>
  <si>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</si>
  <si>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</si>
  <si>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</si>
  <si>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</si>
  <si>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</si>
  <si>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</si>
  <si>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</si>
  <si>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</si>
  <si>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</si>
  <si>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</si>
  <si>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</si>
  <si>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</si>
  <si>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</si>
  <si>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</si>
  <si>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</si>
  <si>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</si>
  <si>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</si>
  <si>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</si>
  <si>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</si>
  <si>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</si>
  <si>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</si>
  <si>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</si>
  <si>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</si>
  <si>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</si>
  <si>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</si>
  <si>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</si>
  <si>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</si>
  <si>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</si>
  <si>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</si>
  <si>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</si>
  <si>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</si>
  <si>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</si>
  <si>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</si>
  <si>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</si>
  <si>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</si>
  <si>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</si>
  <si>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</si>
  <si>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</si>
  <si>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</si>
  <si>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</si>
  <si>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</si>
  <si>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</si>
  <si>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</si>
  <si>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</si>
  <si>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</si>
  <si>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</si>
  <si>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</si>
  <si>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</si>
  <si>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</si>
  <si>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</si>
  <si>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</si>
  <si>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</si>
  <si>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</si>
  <si>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</si>
  <si>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</si>
  <si>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</si>
  <si>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</si>
  <si>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</si>
  <si>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</si>
  <si>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</si>
  <si>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</si>
  <si>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</si>
  <si>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</si>
  <si>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</si>
  <si>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</si>
  <si>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</si>
  <si>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</si>
  <si>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</si>
  <si>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</si>
  <si>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</si>
  <si>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</si>
  <si>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</si>
  <si>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</si>
  <si>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</si>
  <si>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</si>
  <si>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</si>
  <si>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</si>
  <si>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</si>
  <si>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</si>
  <si>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</si>
  <si>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</si>
  <si>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</si>
  <si>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</si>
  <si>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</si>
  <si>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</si>
  <si>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</si>
  <si>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</si>
  <si>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</si>
  <si>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</si>
  <si>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</si>
  <si>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</si>
  <si>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</si>
  <si>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</si>
  <si>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</si>
  <si>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</si>
  <si>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</si>
  <si>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</si>
  <si>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</si>
  <si>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</si>
  <si>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</si>
  <si>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</si>
  <si>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</si>
  <si>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</si>
  <si>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</si>
  <si>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</si>
  <si>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</si>
  <si>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</si>
  <si>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</si>
  <si>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</si>
  <si>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</si>
  <si>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</si>
  <si>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</si>
  <si>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</si>
  <si>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</si>
  <si>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</si>
  <si>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</si>
  <si>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</si>
  <si>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</si>
  <si>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</si>
  <si>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</si>
  <si>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</si>
  <si>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</si>
  <si>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</si>
  <si>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</si>
  <si>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</si>
  <si>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</si>
  <si>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</si>
  <si>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</si>
  <si>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</si>
  <si>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</si>
  <si>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</si>
  <si>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</si>
  <si>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</si>
  <si>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</si>
  <si>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</si>
  <si>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</si>
  <si>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</si>
  <si>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</si>
  <si>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</si>
  <si>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</si>
  <si>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</si>
  <si>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</si>
  <si>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</si>
  <si>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</si>
  <si>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</si>
  <si>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</si>
  <si>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</si>
  <si>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</si>
  <si>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</si>
  <si>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</si>
  <si>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</si>
  <si>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</si>
  <si>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</si>
  <si>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</si>
  <si>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</si>
  <si>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</si>
  <si>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</si>
  <si>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</si>
  <si>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</si>
  <si>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</si>
  <si>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</si>
  <si>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</si>
  <si>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</si>
  <si>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</si>
  <si>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</si>
  <si>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</si>
  <si>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</si>
  <si>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</si>
  <si>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</si>
  <si>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</si>
  <si>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</si>
  <si>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</si>
  <si>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</si>
  <si>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</si>
  <si>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</si>
  <si>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</si>
  <si>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</si>
  <si>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</si>
  <si>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</si>
  <si>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</si>
  <si>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</si>
  <si>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</si>
  <si>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</si>
  <si>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</si>
  <si>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</si>
  <si>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</si>
  <si>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</si>
  <si>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</si>
  <si>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</si>
  <si>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</si>
  <si>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</si>
  <si>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</si>
  <si>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</si>
  <si>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</si>
  <si>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</si>
  <si>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</si>
  <si>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</si>
  <si>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</si>
  <si>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</si>
  <si>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</si>
  <si>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</si>
  <si>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</si>
  <si>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</si>
  <si>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</si>
  <si>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</si>
  <si>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</si>
  <si>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</si>
  <si>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</si>
  <si>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</si>
  <si>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</si>
  <si>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</si>
  <si>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</si>
  <si>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</si>
  <si>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</si>
  <si>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</si>
  <si>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</si>
  <si>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</si>
  <si>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</si>
  <si>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</si>
  <si>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</si>
  <si>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</si>
  <si>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</si>
  <si>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</si>
  <si>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</si>
  <si>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</si>
  <si>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</si>
  <si>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</si>
  <si>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</si>
  <si>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</si>
  <si>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</si>
  <si>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</si>
  <si>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</si>
  <si>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</si>
  <si>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</si>
  <si>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</si>
  <si>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</si>
  <si>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</si>
  <si>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</si>
  <si>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</si>
  <si>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</si>
  <si>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</si>
  <si>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</si>
  <si>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</si>
  <si>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</si>
  <si>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</si>
  <si>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</si>
  <si>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</si>
  <si>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</si>
  <si>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</si>
  <si>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</si>
  <si>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</si>
  <si>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</si>
  <si>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</si>
  <si>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</si>
  <si>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</si>
  <si>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</si>
  <si>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</si>
  <si>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</si>
  <si>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</si>
  <si>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</si>
  <si>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</si>
  <si>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</si>
  <si>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</si>
  <si>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</si>
  <si>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</si>
  <si>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</si>
  <si>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</si>
  <si>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</si>
  <si>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</si>
  <si>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</si>
  <si>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</si>
  <si>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</si>
  <si>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</si>
  <si>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</si>
  <si>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</si>
  <si>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</si>
  <si>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</si>
  <si>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</si>
  <si>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</si>
  <si>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</si>
  <si>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</si>
  <si>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</si>
  <si>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</si>
  <si>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</si>
  <si>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</si>
  <si>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</si>
  <si>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</si>
  <si>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</si>
  <si>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</si>
  <si>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</si>
  <si>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</si>
  <si>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</si>
  <si>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</si>
  <si>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</si>
  <si>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</si>
  <si>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</si>
  <si>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</si>
  <si>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</si>
  <si>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</si>
  <si>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</si>
  <si>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</si>
  <si>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</si>
  <si>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</si>
  <si>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</si>
  <si>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</si>
  <si>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</si>
  <si>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</si>
  <si>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</si>
  <si>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</si>
  <si>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</si>
  <si>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</si>
  <si>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</si>
  <si>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</si>
  <si>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</si>
  <si>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</si>
  <si>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</si>
  <si>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</si>
  <si>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</si>
  <si>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</si>
  <si>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</si>
  <si>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</si>
  <si>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</si>
  <si>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</si>
  <si>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</si>
  <si>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</si>
  <si>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</si>
  <si>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</si>
  <si>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</si>
  <si>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</si>
  <si>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</si>
  <si>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</si>
  <si>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</si>
  <si>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</si>
  <si>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</si>
  <si>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</si>
  <si>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</si>
  <si>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</si>
  <si>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</si>
  <si>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</si>
  <si>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</si>
  <si>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</si>
  <si>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</si>
  <si>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</si>
  <si>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</si>
  <si>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</si>
  <si>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</si>
  <si>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</si>
  <si>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</si>
  <si>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</si>
  <si>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</si>
  <si>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</si>
  <si>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</si>
  <si>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</si>
  <si>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</si>
  <si>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</si>
  <si>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</si>
  <si>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</si>
  <si>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</si>
  <si>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</si>
  <si>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</si>
  <si>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</si>
  <si>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</si>
  <si>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</si>
  <si>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</si>
  <si>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</si>
  <si>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</si>
  <si>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</si>
  <si>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</si>
  <si>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</si>
  <si>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</si>
  <si>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</si>
  <si>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</si>
  <si>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</si>
  <si>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</si>
  <si>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</si>
  <si>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</si>
  <si>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</si>
  <si>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</si>
  <si>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</si>
  <si>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</si>
  <si>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</si>
  <si>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</si>
  <si>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</si>
  <si>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</si>
  <si>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</si>
  <si>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</si>
  <si>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</si>
  <si>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</si>
  <si>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</si>
  <si>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</si>
  <si>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</si>
  <si>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</si>
  <si>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</si>
  <si>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</si>
  <si>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</si>
  <si>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</si>
  <si>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</si>
  <si>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</si>
  <si>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</si>
  <si>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</si>
  <si>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</si>
  <si>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</si>
  <si>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</si>
  <si>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</si>
  <si>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</si>
  <si>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</si>
  <si>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</si>
  <si>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</si>
  <si>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</si>
  <si>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</si>
  <si>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</si>
  <si>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</si>
  <si>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</si>
  <si>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</si>
  <si>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</si>
  <si>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</si>
  <si>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</si>
  <si>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</si>
  <si>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</si>
  <si>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</si>
  <si>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</si>
  <si>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</si>
  <si>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</si>
  <si>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</si>
  <si>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</si>
  <si>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</si>
  <si>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</si>
  <si>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</si>
  <si>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</si>
  <si>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</si>
  <si>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</si>
  <si>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</si>
  <si>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</si>
  <si>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</si>
  <si>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</si>
  <si>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</si>
  <si>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</si>
  <si>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</si>
  <si>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</si>
  <si>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</si>
  <si>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</si>
  <si>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</si>
  <si>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</si>
  <si>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</si>
  <si>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</si>
  <si>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</si>
  <si>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</si>
  <si>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</si>
  <si>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</si>
  <si>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</si>
  <si>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</si>
  <si>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</si>
  <si>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</si>
  <si>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</si>
  <si>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</si>
  <si>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</si>
  <si>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</si>
  <si>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</si>
  <si>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</si>
  <si>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</si>
  <si>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</si>
  <si>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</si>
  <si>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</si>
  <si>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</si>
  <si>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</si>
  <si>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</si>
  <si>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</si>
  <si>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</si>
  <si>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</si>
  <si>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</si>
  <si>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</si>
  <si>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</si>
  <si>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</si>
  <si>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</si>
  <si>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</si>
  <si>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</si>
  <si>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</si>
  <si>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</si>
  <si>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</si>
  <si>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</si>
  <si>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</si>
  <si>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</si>
  <si>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</si>
  <si>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</si>
  <si>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</si>
  <si>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</si>
  <si>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</si>
  <si>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</si>
  <si>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</si>
  <si>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</si>
  <si>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</si>
  <si>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</si>
  <si>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</si>
  <si>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</si>
  <si>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</si>
  <si>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</si>
  <si>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</si>
  <si>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</si>
  <si>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</si>
  <si>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</si>
  <si>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</si>
  <si>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</si>
  <si>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</si>
  <si>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</si>
  <si>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</si>
  <si>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</si>
  <si>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</si>
  <si>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</si>
  <si>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</si>
  <si>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</si>
  <si>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</si>
  <si>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</si>
  <si>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</si>
  <si>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</si>
  <si>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</si>
  <si>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</si>
  <si>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</si>
  <si>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</si>
  <si>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</si>
  <si>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</si>
  <si>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</si>
  <si>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</si>
  <si>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</si>
  <si>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</si>
  <si>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</si>
  <si>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</si>
  <si>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</si>
  <si>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</si>
  <si>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</si>
  <si>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</si>
  <si>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</si>
  <si>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</si>
  <si>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</si>
  <si>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</si>
  <si>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</si>
  <si>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</si>
  <si>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</si>
  <si>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</si>
  <si>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</si>
  <si>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</si>
  <si>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</si>
  <si>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</si>
  <si>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</si>
  <si>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</si>
  <si>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</si>
  <si>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</si>
  <si>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</si>
  <si>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</si>
  <si>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</si>
  <si>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</si>
  <si>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</si>
  <si>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</si>
  <si>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</si>
  <si>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</si>
  <si>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</si>
  <si>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</si>
  <si>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</si>
  <si>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</si>
  <si>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</si>
  <si>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</si>
  <si>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</si>
  <si>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</si>
  <si>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</si>
  <si>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</si>
  <si>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</si>
  <si>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</si>
  <si>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</si>
  <si>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</si>
  <si>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</si>
  <si>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</si>
  <si>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</si>
  <si>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</si>
  <si>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</si>
  <si>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</si>
  <si>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</si>
  <si>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</si>
  <si>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</si>
  <si>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</si>
  <si>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</si>
  <si>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</si>
  <si>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</si>
  <si>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</si>
  <si>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</si>
  <si>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</si>
  <si>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</si>
  <si>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</si>
  <si>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</si>
  <si>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</si>
  <si>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</si>
  <si>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</si>
  <si>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</si>
  <si>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</si>
  <si>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</si>
  <si>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</si>
  <si>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</si>
  <si>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</si>
  <si>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</si>
  <si>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</si>
  <si>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</si>
  <si>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</si>
  <si>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</si>
  <si>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</si>
  <si>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</si>
  <si>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</si>
  <si>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</si>
  <si>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</si>
  <si>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</si>
  <si>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</si>
  <si>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</si>
  <si>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</si>
  <si>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</si>
  <si>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</si>
  <si>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</si>
  <si>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</si>
  <si>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</si>
  <si>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</si>
  <si>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</si>
  <si>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</si>
  <si>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</si>
  <si>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</si>
  <si>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</si>
  <si>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</si>
  <si>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</si>
  <si>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</si>
  <si>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</si>
  <si>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</si>
  <si>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</si>
  <si>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</si>
  <si>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</si>
  <si>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</si>
  <si>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</si>
  <si>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</si>
  <si>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</si>
  <si>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</si>
  <si>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</si>
  <si>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</si>
  <si>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</si>
  <si>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</si>
  <si>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</si>
  <si>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</si>
  <si>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</si>
  <si>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</si>
  <si>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</si>
  <si>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</si>
  <si>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</si>
  <si>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</si>
  <si>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</si>
  <si>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</si>
  <si>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</si>
  <si>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</si>
  <si>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</si>
  <si>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</si>
  <si>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</si>
  <si>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</si>
  <si>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</si>
  <si>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</si>
  <si>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</si>
  <si>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</si>
  <si>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</si>
  <si>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</si>
  <si>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</si>
  <si>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</si>
  <si>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</si>
  <si>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</si>
  <si>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</si>
  <si>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</si>
  <si>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</si>
  <si>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</si>
  <si>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</si>
  <si>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</si>
  <si>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</si>
  <si>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</si>
  <si>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</si>
  <si>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</si>
  <si>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</si>
  <si>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</si>
  <si>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</si>
  <si>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</si>
  <si>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</si>
  <si>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</si>
  <si>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</si>
  <si>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</si>
  <si>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</si>
  <si>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</si>
  <si>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</si>
  <si>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</si>
  <si>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</si>
  <si>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</si>
  <si>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</si>
  <si>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</si>
  <si>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</si>
  <si>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</si>
  <si>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</si>
  <si>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</si>
  <si>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</si>
  <si>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</si>
  <si>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</si>
  <si>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</si>
  <si>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</si>
  <si>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</si>
  <si>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</si>
  <si>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</si>
  <si>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</si>
  <si>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</si>
  <si>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</si>
  <si>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</si>
  <si>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</si>
  <si>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</si>
  <si>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</si>
  <si>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</si>
  <si>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</si>
  <si>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</si>
  <si>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</si>
  <si>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</si>
  <si>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</si>
  <si>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</si>
  <si>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</si>
  <si>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</si>
  <si>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</si>
  <si>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</si>
  <si>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</si>
  <si>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</si>
  <si>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</si>
  <si>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</si>
  <si>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</si>
  <si>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</si>
  <si>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</si>
  <si>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</si>
  <si>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</si>
  <si>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</si>
  <si>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</si>
  <si>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</si>
  <si>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</si>
  <si>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</si>
  <si>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</si>
  <si>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</si>
  <si>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</si>
  <si>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</si>
  <si>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</si>
  <si>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</si>
  <si>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</si>
  <si>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</si>
  <si>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</si>
  <si>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</si>
  <si>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</si>
  <si>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</si>
  <si>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</si>
  <si>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</si>
  <si>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</si>
  <si>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</si>
  <si>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</si>
  <si>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</si>
  <si>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</si>
  <si>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</si>
  <si>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</si>
  <si>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</si>
  <si>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</si>
  <si>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</si>
  <si>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</si>
  <si>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</si>
  <si>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</si>
  <si>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</si>
  <si>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</si>
  <si>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</si>
  <si>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</si>
  <si>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</si>
  <si>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</si>
  <si>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</si>
  <si>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</si>
  <si>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</si>
  <si>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</si>
  <si>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</si>
  <si>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</si>
  <si>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</si>
  <si>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</si>
  <si>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</si>
  <si>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</si>
  <si>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</si>
  <si>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</si>
  <si>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</si>
  <si>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</si>
  <si>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</si>
  <si>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</si>
  <si>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</si>
  <si>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</si>
  <si>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</si>
  <si>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</si>
  <si>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</si>
  <si>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</si>
  <si>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</si>
  <si>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</si>
  <si>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</si>
  <si>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</si>
  <si>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</si>
  <si>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</si>
  <si>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</si>
  <si>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</si>
  <si>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</si>
  <si>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</si>
  <si>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</si>
  <si>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</si>
  <si>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</si>
  <si>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</si>
  <si>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</si>
  <si>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</si>
  <si>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</si>
  <si>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</si>
  <si>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</si>
  <si>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</si>
  <si>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</si>
  <si>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</si>
  <si>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</si>
  <si>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</si>
  <si>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</si>
  <si>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</si>
  <si>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</si>
  <si>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</si>
  <si>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</si>
  <si>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</si>
  <si>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</si>
  <si>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</si>
  <si>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</si>
  <si>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</si>
  <si>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</si>
  <si>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</si>
  <si>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</si>
  <si>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</si>
  <si>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</si>
  <si>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</si>
  <si>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</si>
  <si>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</si>
  <si>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</si>
  <si>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</si>
  <si>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</si>
  <si>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</si>
  <si>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</si>
  <si>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</si>
  <si>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</si>
  <si>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</si>
  <si>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</si>
  <si>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</si>
  <si>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</si>
  <si>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</si>
  <si>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</si>
  <si>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</si>
  <si>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</si>
  <si>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</si>
  <si>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</si>
  <si>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</si>
  <si>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</si>
  <si>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</si>
  <si>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</si>
  <si>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</si>
  <si>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</si>
  <si>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</si>
  <si>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</si>
  <si>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</si>
  <si>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</si>
  <si>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</si>
  <si>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</si>
  <si>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</si>
  <si>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</si>
  <si>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</si>
  <si>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</si>
  <si>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</si>
  <si>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</si>
  <si>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</si>
  <si>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</si>
  <si>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</si>
  <si>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</si>
  <si>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</si>
  <si>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</si>
  <si>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</si>
  <si>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</si>
  <si>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</si>
  <si>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</si>
  <si>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</si>
  <si>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</si>
  <si>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</si>
  <si>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</si>
  <si>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</si>
  <si>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</si>
  <si>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</si>
  <si>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</si>
  <si>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</si>
  <si>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</si>
  <si>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</si>
  <si>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</si>
  <si>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</si>
  <si>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</si>
  <si>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</si>
  <si>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</si>
  <si>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</si>
  <si>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</si>
  <si>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</si>
  <si>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</si>
  <si>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</si>
  <si>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</si>
  <si>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</si>
  <si>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</si>
  <si>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</si>
  <si>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</si>
  <si>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</si>
  <si>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</si>
  <si>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</si>
  <si>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</si>
  <si>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</si>
  <si>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</si>
  <si>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</si>
  <si>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</si>
  <si>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</si>
  <si>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</si>
  <si>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</si>
  <si>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</si>
  <si>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</si>
  <si>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</si>
  <si>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</si>
  <si>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</si>
  <si>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</si>
  <si>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</si>
  <si>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</si>
  <si>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</si>
  <si>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</si>
  <si>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</si>
  <si>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</si>
  <si>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</si>
  <si>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</si>
  <si>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</si>
  <si>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</si>
  <si>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</si>
  <si>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</si>
  <si>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</si>
  <si>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</si>
  <si>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</si>
  <si>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</si>
  <si>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</si>
  <si>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</si>
  <si>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</si>
  <si>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</si>
  <si>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</si>
  <si>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</si>
  <si>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</si>
  <si>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</si>
  <si>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</si>
  <si>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</si>
  <si>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</si>
  <si>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</si>
  <si>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</si>
  <si>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</si>
  <si>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</si>
  <si>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</si>
  <si>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</si>
  <si>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</si>
  <si>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</si>
  <si>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</si>
  <si>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</si>
  <si>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</si>
  <si>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</si>
  <si>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</si>
  <si>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</si>
  <si>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</si>
  <si>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</si>
  <si>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</si>
  <si>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</si>
  <si>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</si>
  <si>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</si>
  <si>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</si>
  <si>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</si>
  <si>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</si>
  <si>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</si>
  <si>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</si>
  <si>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</si>
  <si>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</si>
  <si>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</si>
  <si>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</si>
  <si>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</si>
  <si>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</si>
  <si>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</si>
  <si>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</si>
  <si>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</si>
  <si>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</si>
  <si>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</si>
  <si>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</si>
  <si>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</si>
  <si>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</si>
  <si>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</si>
  <si>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</si>
  <si>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</si>
  <si>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</si>
  <si>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</si>
  <si>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</si>
  <si>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</si>
  <si>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</si>
  <si>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</si>
  <si>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</si>
  <si>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</si>
  <si>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</si>
  <si>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</si>
  <si>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</si>
  <si>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</si>
  <si>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</si>
  <si>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</si>
  <si>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</si>
  <si>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</si>
  <si>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</si>
  <si>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</si>
  <si>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</si>
  <si>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</si>
  <si>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</si>
  <si>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</si>
  <si>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</si>
  <si>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</si>
  <si>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</si>
  <si>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</si>
  <si>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</si>
  <si>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</si>
  <si>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</si>
  <si>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</si>
  <si>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</si>
  <si>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</si>
  <si>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</si>
  <si>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</si>
  <si>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</si>
  <si>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</si>
  <si>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</si>
  <si>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</si>
  <si>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</si>
  <si>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</si>
  <si>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</si>
  <si>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</si>
  <si>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</si>
  <si>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</si>
  <si>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</si>
  <si>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</si>
  <si>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</si>
  <si>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</si>
  <si>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</si>
  <si>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</si>
  <si>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</si>
  <si>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</si>
  <si>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</si>
  <si>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</si>
  <si>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</si>
  <si>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</si>
  <si>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</si>
  <si>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</si>
  <si>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</si>
  <si>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</si>
  <si>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</si>
  <si>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</si>
  <si>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</si>
  <si>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</si>
  <si>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</si>
  <si>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</si>
  <si>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</si>
  <si>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</si>
  <si>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</si>
  <si>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</si>
  <si>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</si>
  <si>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</si>
  <si>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</si>
  <si>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</si>
  <si>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</si>
  <si>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</si>
  <si>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</si>
  <si>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</si>
  <si>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</si>
  <si>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</si>
  <si>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</si>
  <si>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</si>
  <si>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</si>
  <si>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</si>
  <si>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</si>
  <si>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</si>
  <si>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</si>
  <si>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</si>
  <si>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</si>
  <si>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</si>
  <si>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</si>
  <si>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</si>
  <si>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</si>
  <si>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</si>
  <si>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</si>
  <si>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</si>
  <si>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</si>
  <si>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</si>
  <si>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</si>
  <si>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</si>
  <si>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</si>
  <si>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</si>
  <si>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</si>
  <si>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</si>
  <si>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</si>
  <si>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</si>
  <si>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</si>
  <si>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</si>
  <si>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</si>
  <si>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</si>
  <si>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</si>
  <si>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</si>
  <si>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</si>
  <si>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</si>
  <si>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</si>
  <si>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</si>
  <si>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</si>
  <si>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</si>
  <si>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</si>
  <si>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</si>
  <si>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</si>
  <si>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</si>
  <si>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</si>
  <si>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</si>
  <si>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</si>
  <si>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</si>
  <si>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</si>
  <si>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</si>
  <si>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</si>
  <si>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</si>
  <si>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</si>
  <si>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</si>
  <si>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</si>
  <si>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</si>
  <si>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</si>
  <si>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</si>
  <si>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</si>
  <si>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</si>
  <si>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</si>
  <si>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</si>
  <si>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</si>
  <si>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</si>
  <si>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</si>
  <si>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</si>
  <si>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</si>
  <si>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</si>
  <si>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</si>
  <si>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</si>
  <si>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</si>
  <si>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</si>
  <si>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</si>
  <si>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</si>
  <si>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</si>
  <si>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</si>
  <si>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</si>
  <si>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</si>
  <si>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</si>
  <si>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</si>
  <si>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</si>
  <si>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</si>
  <si>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</si>
  <si>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</si>
  <si>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</si>
  <si>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</si>
  <si>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</si>
  <si>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</si>
  <si>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</si>
  <si>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</si>
  <si>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</si>
  <si>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</si>
  <si>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</si>
  <si>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</si>
  <si>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</si>
  <si>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</si>
  <si>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</si>
  <si>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</si>
  <si>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</si>
  <si>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</si>
  <si>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</si>
  <si>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</si>
  <si>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</si>
  <si>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</si>
  <si>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</si>
  <si>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</si>
  <si>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</si>
  <si>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</si>
  <si>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</si>
  <si>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</si>
  <si>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</si>
  <si>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</si>
  <si>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</si>
  <si>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</si>
  <si>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</si>
  <si>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</si>
  <si>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</si>
  <si>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</si>
  <si>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</si>
  <si>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</si>
  <si>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</si>
  <si>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</si>
  <si>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</si>
  <si>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</si>
  <si>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</si>
  <si>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</si>
  <si>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</si>
  <si>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</si>
  <si>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</si>
  <si>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</si>
  <si>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</si>
  <si>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</si>
  <si>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</si>
  <si>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</si>
  <si>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</si>
  <si>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</si>
  <si>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</si>
  <si>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</si>
  <si>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</si>
  <si>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</si>
  <si>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</si>
  <si>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</si>
  <si>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</si>
  <si>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</si>
  <si>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</si>
  <si>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</si>
  <si>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</si>
  <si>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</si>
  <si>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</si>
  <si>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</si>
  <si>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</si>
  <si>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</si>
  <si>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</si>
  <si>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</si>
  <si>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</si>
  <si>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</si>
  <si>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</si>
  <si>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</si>
  <si>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</si>
  <si>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</si>
  <si>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</si>
  <si>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</si>
  <si>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</si>
  <si>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</si>
  <si>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</si>
  <si>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</si>
  <si>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</si>
  <si>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</si>
  <si>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</si>
  <si>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</si>
  <si>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</si>
  <si>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</si>
  <si>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</si>
  <si>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</si>
  <si>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</si>
  <si>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</si>
  <si>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</si>
  <si>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</si>
  <si>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</si>
  <si>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</si>
  <si>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</si>
  <si>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</si>
  <si>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</si>
  <si>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</si>
  <si>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</si>
  <si>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</si>
  <si>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</si>
  <si>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</si>
  <si>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</si>
  <si>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</si>
  <si>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</si>
  <si>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</si>
  <si>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</si>
  <si>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</si>
  <si>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</si>
  <si>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</si>
  <si>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</si>
  <si>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</si>
  <si>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</si>
  <si>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</si>
  <si>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</si>
  <si>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</si>
  <si>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</si>
  <si>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</si>
  <si>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</si>
  <si>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</si>
  <si>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</si>
  <si>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</si>
  <si>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</si>
  <si>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</si>
  <si>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</si>
  <si>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</si>
  <si>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</si>
  <si>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</si>
  <si>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</si>
  <si>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</si>
  <si>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</si>
  <si>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</si>
  <si>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</si>
  <si>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</si>
  <si>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</si>
  <si>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</si>
  <si>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</si>
  <si>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</si>
  <si>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</si>
  <si>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</si>
  <si>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</si>
  <si>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</si>
  <si>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</si>
  <si>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</si>
  <si>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</si>
  <si>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</si>
  <si>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</si>
  <si>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</si>
  <si>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</si>
  <si>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</si>
  <si>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</si>
  <si>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</si>
  <si>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</si>
  <si>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</si>
  <si>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</si>
  <si>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</si>
  <si>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</si>
  <si>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</si>
  <si>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</si>
  <si>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</si>
  <si>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</si>
  <si>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</si>
  <si>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</si>
  <si>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</si>
  <si>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</si>
  <si>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</si>
  <si>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</si>
  <si>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</si>
  <si>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</si>
  <si>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</si>
  <si>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</si>
  <si>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</si>
  <si>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</si>
  <si>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</si>
  <si>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</si>
  <si>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</si>
  <si>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</si>
  <si>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</si>
  <si>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</si>
  <si>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</si>
  <si>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</si>
  <si>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</si>
  <si>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</si>
  <si>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</si>
  <si>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</si>
  <si>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</si>
  <si>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</si>
  <si>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</si>
  <si>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</si>
  <si>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</si>
  <si>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</si>
  <si>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</si>
  <si>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</si>
  <si>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</si>
  <si>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</si>
  <si>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</si>
  <si>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</si>
  <si>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</si>
  <si>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</si>
  <si>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</si>
  <si>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</si>
  <si>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</si>
  <si>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</si>
  <si>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</si>
  <si>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</si>
  <si>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</si>
  <si>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</si>
  <si>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</si>
  <si>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</si>
  <si>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</si>
  <si>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</si>
  <si>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</si>
  <si>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</si>
  <si>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</si>
  <si>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</si>
  <si>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</si>
  <si>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</si>
  <si>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</si>
  <si>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</si>
  <si>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</si>
  <si>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</si>
  <si>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</si>
  <si>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</si>
  <si>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</si>
  <si>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</si>
  <si>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</si>
  <si>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</si>
  <si>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</si>
  <si>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</si>
  <si>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</si>
  <si>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</si>
  <si>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</si>
  <si>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</si>
  <si>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</si>
  <si>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</si>
  <si>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</si>
  <si>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</si>
  <si>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</si>
  <si>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</si>
  <si>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</si>
  <si>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</si>
  <si>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</si>
  <si>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</si>
  <si>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</si>
  <si>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</si>
  <si>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</si>
  <si>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</si>
  <si>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</si>
  <si>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</si>
  <si>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</si>
  <si>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</si>
  <si>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</si>
  <si>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</si>
  <si>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</si>
  <si>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</si>
  <si>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</si>
  <si>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</si>
  <si>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</si>
  <si>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</si>
  <si>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</si>
  <si>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</si>
  <si>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</si>
  <si>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</si>
  <si>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</si>
  <si>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</si>
  <si>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</si>
  <si>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</si>
  <si>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</si>
  <si>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</si>
  <si>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</si>
  <si>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</si>
  <si>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</si>
  <si>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</si>
  <si>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</si>
  <si>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</si>
  <si>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</si>
  <si>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</si>
  <si>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</si>
  <si>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</si>
  <si>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</si>
  <si>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</si>
  <si>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</si>
  <si>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</si>
  <si>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</si>
  <si>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</si>
  <si>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</si>
  <si>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</si>
  <si>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</si>
  <si>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</si>
  <si>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</si>
  <si>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</si>
  <si>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</si>
  <si>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</si>
  <si>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</si>
  <si>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</si>
  <si>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</si>
  <si>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</si>
  <si>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</si>
  <si>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</si>
  <si>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</si>
  <si>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</si>
  <si>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</si>
  <si>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</si>
  <si>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</si>
  <si>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</si>
  <si>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</si>
  <si>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</si>
  <si>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</si>
  <si>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</si>
  <si>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</si>
  <si>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</si>
  <si>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</si>
  <si>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</si>
  <si>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</si>
  <si>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</si>
  <si>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</si>
  <si>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</si>
  <si>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</si>
  <si>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</si>
  <si>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</si>
  <si>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</si>
  <si>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</si>
  <si>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</si>
  <si>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</si>
  <si>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</si>
  <si>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</si>
  <si>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</si>
  <si>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</si>
  <si>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</si>
  <si>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</si>
  <si>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</si>
  <si>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</si>
  <si>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</si>
  <si>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</si>
  <si>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</si>
  <si>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</si>
  <si>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</si>
  <si>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</si>
  <si>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</si>
  <si>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</si>
  <si>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</si>
  <si>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</si>
  <si>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</si>
  <si>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</si>
  <si>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</si>
  <si>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</si>
  <si>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</si>
  <si>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</si>
  <si>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</si>
  <si>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</si>
  <si>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</si>
  <si>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</si>
  <si>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</si>
  <si>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</si>
  <si>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</si>
  <si>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</si>
  <si>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</si>
  <si>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</si>
  <si>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</si>
  <si>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</si>
  <si>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</si>
  <si>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</si>
  <si>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</si>
  <si>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</si>
  <si>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</si>
  <si>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</si>
  <si>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</si>
  <si>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</si>
  <si>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</si>
  <si>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</si>
  <si>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</si>
  <si>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</si>
  <si>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</si>
  <si>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</si>
  <si>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</si>
  <si>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</si>
  <si>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</si>
  <si>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</si>
  <si>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</si>
  <si>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</si>
  <si>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</si>
  <si>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</si>
  <si>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</si>
  <si>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</si>
  <si>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</si>
  <si>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</si>
  <si>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</si>
  <si>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</si>
  <si>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</si>
  <si>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</si>
  <si>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</si>
  <si>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</si>
  <si>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</si>
  <si>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</si>
  <si>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</si>
  <si>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</si>
  <si>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</si>
  <si>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</si>
  <si>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</si>
  <si>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</si>
  <si>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</si>
  <si>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</si>
  <si>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</si>
  <si>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</si>
  <si>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</si>
  <si>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</si>
  <si>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</si>
  <si>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</si>
  <si>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</si>
  <si>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</si>
  <si>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</si>
  <si>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</si>
  <si>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</si>
  <si>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</si>
  <si>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</si>
  <si>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</si>
  <si>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</si>
  <si>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</si>
  <si>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</si>
  <si>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</si>
  <si>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</si>
  <si>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</si>
  <si>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</si>
  <si>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</si>
  <si>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</si>
  <si>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</si>
  <si>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</si>
  <si>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</si>
  <si>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</si>
  <si>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</si>
  <si>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</si>
  <si>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</si>
  <si>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</si>
  <si>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</si>
  <si>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</si>
  <si>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</si>
  <si>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</si>
  <si>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</si>
  <si>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</si>
  <si>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</si>
  <si>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</si>
  <si>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</si>
  <si>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</si>
  <si>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</si>
  <si>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</si>
  <si>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</si>
  <si>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</si>
  <si>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</si>
  <si>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</si>
  <si>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</si>
  <si>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</si>
  <si>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</si>
  <si>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</si>
  <si>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</si>
  <si>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</si>
  <si>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</si>
  <si>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</si>
  <si>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</si>
  <si>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</si>
  <si>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</si>
  <si>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</si>
  <si>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</si>
  <si>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</si>
  <si>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</si>
  <si>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</si>
  <si>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</si>
  <si>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</si>
  <si>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</si>
  <si>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</si>
  <si>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</si>
  <si>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</si>
  <si>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</si>
  <si>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</si>
  <si>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</si>
  <si>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</si>
  <si>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</si>
  <si>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</si>
  <si>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</si>
  <si>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</si>
  <si>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</si>
  <si>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</si>
  <si>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</si>
  <si>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</si>
  <si>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</si>
  <si>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</si>
  <si>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</si>
  <si>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</si>
  <si>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</si>
  <si>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</si>
  <si>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</si>
  <si>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</si>
  <si>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</si>
  <si>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</si>
  <si>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</si>
  <si>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</si>
  <si>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</si>
  <si>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</si>
  <si>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</si>
  <si>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</si>
  <si>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</si>
  <si>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</si>
  <si>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</si>
  <si>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</si>
  <si>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</si>
  <si>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</si>
  <si>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</si>
  <si>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</si>
  <si>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</si>
  <si>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</si>
  <si>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</si>
  <si>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</si>
  <si>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</si>
  <si>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</si>
  <si>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</si>
  <si>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</si>
  <si>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</si>
  <si>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</si>
  <si>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</si>
  <si>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</si>
  <si>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</si>
  <si>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</si>
  <si>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</si>
  <si>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</si>
  <si>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</si>
  <si>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</si>
  <si>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</si>
  <si>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</si>
  <si>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</si>
  <si>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</si>
  <si>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</si>
  <si>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</si>
  <si>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</si>
  <si>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</si>
  <si>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</si>
  <si>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</si>
  <si>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</si>
  <si>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</si>
  <si>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</si>
  <si>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</si>
  <si>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</si>
  <si>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</si>
  <si>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</si>
  <si>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</si>
  <si>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</si>
  <si>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</si>
  <si>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</si>
  <si>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</si>
  <si>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</si>
  <si>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</si>
  <si>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</si>
  <si>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</si>
  <si>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</si>
  <si>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</si>
  <si>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</si>
  <si>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</si>
  <si>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</si>
  <si>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</si>
  <si>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</si>
  <si>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</si>
  <si>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</si>
  <si>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</si>
  <si>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</si>
  <si>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</si>
  <si>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</si>
  <si>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</si>
  <si>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</si>
  <si>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</si>
  <si>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</si>
  <si>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</si>
  <si>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</si>
  <si>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</si>
  <si>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</si>
  <si>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</si>
  <si>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</si>
  <si>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</si>
  <si>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</si>
  <si>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</si>
  <si>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</si>
  <si>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</si>
  <si>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</si>
  <si>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</si>
  <si>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</si>
  <si>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</si>
  <si>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</si>
  <si>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</si>
  <si>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</si>
  <si>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</si>
  <si>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</si>
  <si>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</si>
  <si>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</si>
  <si>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</si>
  <si>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</si>
  <si>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</si>
  <si>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</si>
  <si>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</si>
  <si>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</si>
  <si>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</si>
  <si>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</si>
  <si>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</si>
  <si>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</si>
  <si>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</si>
  <si>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</si>
  <si>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</si>
  <si>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</si>
  <si>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</si>
  <si>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</si>
  <si>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</si>
  <si>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</si>
  <si>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</si>
  <si>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</si>
  <si>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</si>
  <si>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</si>
  <si>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</si>
  <si>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</si>
  <si>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</si>
  <si>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</si>
  <si>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</si>
  <si>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</si>
  <si>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</si>
  <si>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</si>
  <si>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</si>
  <si>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</si>
  <si>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</si>
  <si>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</si>
  <si>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</si>
  <si>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</si>
  <si>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11B Paywa Rd</t>
  </si>
  <si>
    <t>Zuni Pueblo, NM 87327</t>
  </si>
  <si>
    <t>Key Box#4785 East Door Chapel</t>
  </si>
  <si>
    <t>Living Room</t>
  </si>
  <si>
    <t>SKSCM</t>
  </si>
  <si>
    <t>Kitchen</t>
  </si>
  <si>
    <t>Bedroom</t>
  </si>
  <si>
    <t>Back Door</t>
  </si>
  <si>
    <t>Sash</t>
  </si>
  <si>
    <t>1 1/2" Top &amp; Bottom</t>
  </si>
  <si>
    <t>XX</t>
  </si>
  <si>
    <t>DJ 6-20-2024</t>
  </si>
  <si>
    <t>Doyle</t>
  </si>
  <si>
    <t xml:space="preserve">Zuni Annex  WO#J5104785-00267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</si>
</sst>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3.8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3.8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65" customHeight="1">
      <c r="A12" s="289" t="s">
        <v>97</v>
      </c>
      <c r="B12" s="301" t="str">
        <f>Worksheet!D3</f>
        <v>JLL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2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65" customHeight="1">
      <c r="A14" s="267"/>
      <c r="B14" s="302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999999999999993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2">
        <f>Worksheet!D6</f>
        <v>0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2" customHeight="1">
      <c r="A17" s="239" t="s">
        <v>111</v>
      </c>
      <c r="B17" s="267">
        <f>Worksheet!J7</f>
        <v>0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65" customHeight="1">
      <c r="A19" s="239" t="s">
        <v>109</v>
      </c>
      <c r="B19" s="239">
        <f>Worksheet!J6</f>
        <v>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 ht="13.2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 ht="13.2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15" customHeight="1">
      <c r="A22" s="291" t="s">
        <v>2525</v>
      </c>
      <c r="B22" s="292" t="str">
        <f>Worksheet!W4</f>
        <v xml:space="preserve">Zuni Annex  WO#J5104785-00267 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 ht="13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3.8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 ht="13.2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 ht="13.2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 ht="13.2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 ht="13.2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 ht="13.2">
      <c r="A29" s="239"/>
      <c r="B29" s="239"/>
      <c r="C29" s="239"/>
      <c r="D29" s="240"/>
      <c r="E29" s="240"/>
      <c r="F29" s="240"/>
      <c r="G29" s="240"/>
      <c r="H29" s="240"/>
      <c r="I29" s="240"/>
      <c r="J29" s="284"/>
      <c r="K29" s="2"/>
    </row>
    <row r="30" spans="1:11" ht="13.2">
      <c r="A30" s="239"/>
      <c r="B30" s="239"/>
      <c r="C30" s="239"/>
      <c r="D30" s="240"/>
      <c r="E30" s="240"/>
      <c r="F30" s="240"/>
      <c r="G30" s="240"/>
      <c r="H30" s="240"/>
      <c r="I30" s="240"/>
      <c r="J30" s="284"/>
      <c r="K30" s="2"/>
    </row>
    <row r="31" spans="1:11" ht="13.2">
      <c r="A31" s="239"/>
      <c r="B31" s="239"/>
      <c r="C31" s="239"/>
      <c r="D31" s="240"/>
      <c r="E31" s="240"/>
      <c r="F31" s="240"/>
      <c r="G31" s="240"/>
      <c r="H31" s="240"/>
      <c r="I31" s="240"/>
      <c r="J31" s="284"/>
      <c r="K31" s="2"/>
    </row>
    <row r="32" spans="1:11" ht="13.2">
      <c r="A32" s="239"/>
      <c r="B32" s="239"/>
      <c r="C32" s="239"/>
      <c r="D32" s="240"/>
      <c r="E32" s="240"/>
      <c r="F32" s="240"/>
      <c r="G32" s="240"/>
      <c r="H32" s="240"/>
      <c r="I32" s="240"/>
      <c r="J32" s="284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4"/>
      <c r="K33" s="2"/>
    </row>
    <row r="34" spans="1:11" ht="13.2">
      <c r="A34" s="239"/>
      <c r="B34" s="239"/>
      <c r="C34" s="239"/>
      <c r="D34" s="240"/>
      <c r="E34" s="240"/>
      <c r="F34" s="240"/>
      <c r="G34" s="240"/>
      <c r="H34" s="240"/>
      <c r="I34" s="240"/>
      <c r="J34" s="284"/>
      <c r="K34" s="2"/>
    </row>
    <row r="35" spans="1:11" ht="13.2">
      <c r="A35" s="239"/>
      <c r="B35" s="239"/>
      <c r="C35" s="239"/>
      <c r="D35" s="240"/>
      <c r="E35" s="240"/>
      <c r="F35" s="240"/>
      <c r="G35" s="240"/>
      <c r="H35" s="240"/>
      <c r="I35" s="240"/>
      <c r="J35" s="284"/>
      <c r="K35" s="2"/>
    </row>
    <row r="36" spans="1:11" ht="13.2">
      <c r="A36" s="239"/>
      <c r="B36" s="239"/>
      <c r="C36" s="239"/>
      <c r="D36" s="240"/>
      <c r="E36" s="240"/>
      <c r="F36" s="240"/>
      <c r="G36" s="240"/>
      <c r="H36" s="240"/>
      <c r="I36" s="240"/>
      <c r="J36" s="284"/>
      <c r="K36" s="2"/>
    </row>
    <row r="37" spans="1:11" ht="13.2">
      <c r="A37" s="239"/>
      <c r="B37" s="239"/>
      <c r="C37" s="239"/>
      <c r="D37" s="240"/>
      <c r="E37" s="240"/>
      <c r="F37" s="240"/>
      <c r="G37" s="240"/>
      <c r="H37" s="294"/>
      <c r="I37" s="240"/>
      <c r="J37" s="284"/>
      <c r="K37" s="2"/>
    </row>
    <row r="38" spans="1:11" ht="13.2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300">
        <f>Worksheet!AR36</f>
        <v>3575.0022222222224</v>
      </c>
      <c r="E41" s="271"/>
      <c r="F41" s="295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5"/>
      <c r="I42" s="275"/>
      <c r="J42" s="287"/>
    </row>
    <row r="43" spans="1:11" ht="15">
      <c r="A43" s="274"/>
      <c r="B43" s="274"/>
      <c r="C43" s="274"/>
      <c r="D43" s="279">
        <f>SUM(D41:D42)</f>
        <v>3575.0022222222224</v>
      </c>
      <c r="E43" s="271"/>
      <c r="F43" s="298" t="s">
        <v>2547</v>
      </c>
      <c r="H43" s="282"/>
      <c r="I43" s="299"/>
      <c r="J43" s="284"/>
      <c r="K43" s="2"/>
    </row>
    <row r="44" spans="1:11" ht="15">
      <c r="A44" s="303" t="s">
        <v>2549</v>
      </c>
      <c r="B44" s="274"/>
      <c r="C44" s="274"/>
      <c r="D44" s="279"/>
      <c r="E44" s="271"/>
      <c r="F44" s="298"/>
      <c r="H44" s="271"/>
      <c r="I44" s="275"/>
      <c r="J44" s="284"/>
      <c r="K44" s="2"/>
    </row>
    <row r="45" spans="1:11" ht="13.2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 ht="13.2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 ht="13.2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 ht="13.2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 ht="13.2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 ht="13.2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 ht="13.2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 ht="13.2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 ht="13.2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 ht="13.2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 ht="13.2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 ht="13.2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 ht="13.2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6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 ht="13.2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 ht="13.2">
      <c r="A60" s="239"/>
      <c r="B60" s="297"/>
      <c r="C60" s="239"/>
      <c r="D60" s="239"/>
      <c r="E60" s="239"/>
      <c r="F60" s="239"/>
      <c r="G60" s="239"/>
      <c r="H60" s="239"/>
      <c r="I60" s="239"/>
      <c r="J60" s="284"/>
    </row>
    <row r="61" spans="1:10" ht="13.2">
      <c r="A61" s="239"/>
      <c r="B61" s="297"/>
      <c r="C61" s="239"/>
      <c r="D61" s="239"/>
      <c r="E61" s="239"/>
      <c r="F61" s="239"/>
      <c r="G61" s="239"/>
      <c r="H61" s="239"/>
      <c r="I61" s="239"/>
      <c r="J61" s="284"/>
    </row>
    <row r="110" spans="2:2" ht="13.2">
      <c r="B110" s="271" t="s">
        <v>2534</v>
      </c>
    </row>
    <row r="111" spans="2:2" ht="13.2">
      <c r="B111" s="271" t="s">
        <v>2535</v>
      </c>
    </row>
    <row r="112" spans="2:2" ht="13.2">
      <c r="B112" s="271" t="s">
        <v>2536</v>
      </c>
    </row>
    <row r="113" spans="2:2" ht="13.2">
      <c r="B113" s="271" t="s">
        <v>2537</v>
      </c>
    </row>
    <row r="114" spans="2:2" ht="13.2">
      <c r="B114" s="271" t="s">
        <v>2538</v>
      </c>
    </row>
    <row r="115" spans="2:2" ht="13.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'Worksheet 2'!AR1</f>
        <v>32990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'Worksheet 2'!W4</f>
        <v xml:space="preserve">Zuni Annex  WO#J5104785-00267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'Worksheet 2'!Z32</f>
        <v>0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70" t="s">
        <v>4</v>
      </c>
      <c r="W4" s="454" t="str">
        <f>'Worksheet 2'!W4</f>
        <v xml:space="preserve">Zuni Annex  WO#J5104785-00267 </v>
      </c>
      <c r="X4" s="454"/>
      <c r="Y4" s="208" t="s">
        <v>2297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'Worksheet 2'!W5</f>
        <v>11B Paywa Rd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'Worksheet 2'!AR1</f>
        <v>32990</v>
      </c>
      <c r="R6" s="459"/>
      <c r="S6" s="58"/>
      <c r="T6" s="172"/>
      <c r="U6" s="76"/>
      <c r="V6" s="67"/>
      <c r="W6" s="441" t="str">
        <f>'Worksheet 2'!W6</f>
        <v>Zuni Pueblo, NM 87327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'Worksheet 2'!AR1</f>
        <v>32990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255" t="s">
        <v>40</v>
      </c>
      <c r="W4" s="256">
        <f>'Worksheet 2'!W32</f>
        <v>0</v>
      </c>
      <c r="X4" s="256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'Worksheet 2'!W4</f>
        <v xml:space="preserve">Zuni Annex  WO#J5104785-00267 </v>
      </c>
      <c r="O6" s="324"/>
      <c r="P6" s="66"/>
      <c r="Q6" s="340"/>
      <c r="R6" s="341"/>
      <c r="S6" s="58"/>
      <c r="T6" s="172"/>
      <c r="U6" s="76"/>
      <c r="V6" s="164"/>
      <c r="W6" s="164">
        <f>'Worksheet 2'!W34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Z1" zoomScale="90" zoomScaleNormal="80" zoomScaleSheetLayoutView="90" workbookViewId="0">
      <selection activeCell="AN5" sqref="AN5"/>
    </sheetView>
  </sheetViews>
  <sheetFormatPr defaultRowHeight="15.6"/>
  <cols>
    <col min="1" max="1" width="5.44140625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7" width="7.88671875" customWidth="1"/>
    <col min="48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>FINAL MEASUREMENTS OK</v>
      </c>
      <c r="O1" s="428"/>
      <c r="P1" s="428"/>
      <c r="Q1" s="428"/>
      <c r="R1" s="428"/>
      <c r="S1" s="428"/>
      <c r="T1" s="428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32990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4" t="s">
        <v>2609</v>
      </c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430" t="s">
        <v>2532</v>
      </c>
      <c r="Q4" s="430"/>
      <c r="R4" s="429"/>
      <c r="S4" s="429"/>
      <c r="T4" s="429"/>
      <c r="U4" s="172"/>
      <c r="V4" s="70" t="s">
        <v>4</v>
      </c>
      <c r="W4" s="390" t="s">
        <v>2623</v>
      </c>
      <c r="X4" s="256"/>
      <c r="Y4" s="208" t="s">
        <v>2297</v>
      </c>
      <c r="Z4" s="212">
        <v>1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 xml:space="preserve">Zuni Annex  WO#J5104785-00267 </v>
      </c>
      <c r="AI4" s="421"/>
      <c r="AJ4" s="421"/>
      <c r="AK4" s="421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1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58"/>
      <c r="Q5" s="58"/>
      <c r="R5" s="58"/>
      <c r="T5" s="58"/>
      <c r="U5" s="58"/>
      <c r="V5" s="67"/>
      <c r="W5" s="164" t="s">
        <v>2610</v>
      </c>
      <c r="X5" s="164"/>
      <c r="Y5" s="164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439"/>
      <c r="E6" s="439"/>
      <c r="F6" s="439"/>
      <c r="G6" s="439"/>
      <c r="H6" s="439"/>
      <c r="I6" s="78" t="s">
        <v>109</v>
      </c>
      <c r="J6" s="440"/>
      <c r="K6" s="440"/>
      <c r="L6" s="440"/>
      <c r="M6" s="440"/>
      <c r="N6" s="440"/>
      <c r="O6" s="440"/>
      <c r="P6" s="58"/>
      <c r="Q6" s="173" t="s">
        <v>91</v>
      </c>
      <c r="R6" s="66"/>
      <c r="S6" s="66"/>
      <c r="T6" s="379"/>
      <c r="U6" s="76"/>
      <c r="V6" s="67"/>
      <c r="W6" s="164" t="s">
        <v>2611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41"/>
      <c r="E7" s="441"/>
      <c r="F7" s="441"/>
      <c r="G7" s="441"/>
      <c r="H7" s="441"/>
      <c r="I7" s="65" t="s">
        <v>111</v>
      </c>
      <c r="J7" s="442"/>
      <c r="K7" s="443"/>
      <c r="L7" s="443"/>
      <c r="M7" s="443"/>
      <c r="N7" s="443"/>
      <c r="O7" s="443"/>
      <c r="P7" s="58"/>
      <c r="Q7" s="80"/>
      <c r="R7" s="58"/>
      <c r="S7" s="58"/>
      <c r="T7" s="58"/>
      <c r="U7" s="76"/>
      <c r="V7" s="67"/>
      <c r="W7" s="79" t="s">
        <v>2612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30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v>60</v>
      </c>
      <c r="AM8" s="192">
        <v>30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2613</v>
      </c>
      <c r="C11" s="156" t="s">
        <v>122</v>
      </c>
      <c r="D11" s="113"/>
      <c r="E11" s="114">
        <v>1</v>
      </c>
      <c r="F11" s="114" t="s">
        <v>144</v>
      </c>
      <c r="G11" s="112">
        <v>30</v>
      </c>
      <c r="H11" s="115">
        <v>3.5</v>
      </c>
      <c r="I11" s="112">
        <v>57</v>
      </c>
      <c r="J11" s="246" t="str">
        <f>IF(F11="l","left",IF(F11="r","right",IF(F11="f","flat",IF(F11="d","dead",IF(F11="s","sor",IF(F11="st","sor t&amp;b",0))))))</f>
        <v>dead</v>
      </c>
      <c r="K11" s="246">
        <f>+G11</f>
        <v>30</v>
      </c>
      <c r="L11" s="247" t="str">
        <f>IF(F11&gt;"r",0,IF(G11&gt;0,"+",0))</f>
        <v>+</v>
      </c>
      <c r="M11" s="248">
        <f t="shared" ref="M11:M30" si="0">IF(F11="F",0,IF(F11&gt;"r",0,AZ11))</f>
        <v>6.5</v>
      </c>
      <c r="N11" s="249" t="str">
        <f>IF(G11&gt;0,"x",0)</f>
        <v>x</v>
      </c>
      <c r="O11" s="250">
        <f t="shared" ref="O11:O30" si="1">+I11</f>
        <v>57</v>
      </c>
      <c r="P11" s="251">
        <f t="shared" ref="P11:P30" si="2">IF($G11&gt;0,VLOOKUP($W11,$BK$12:$BL$40,2,FALSE)," ")</f>
        <v>74</v>
      </c>
      <c r="Q11" s="355">
        <f>IF(D11+E11&gt;0,IF(F11&gt;"u",0,IF(BA11="RR","RR",+BB11)),0)</f>
        <v>1.25</v>
      </c>
      <c r="R11" s="354">
        <f t="shared" ref="R11:R30" si="3">IF($C11&gt;0,VLOOKUP($X11,$BK$28:$BL$40,2,FALSE)," ")</f>
        <v>64</v>
      </c>
      <c r="S11" s="356">
        <f>IF($C11&gt;0,ROUND(IF($R11&lt;59,($K11+$M11)/23,IF($R11&lt;65,($K11+$M11)/25,IF($R11&lt;75,($K11+$M11)/30,"RR"))),1)," ")</f>
        <v>1.5</v>
      </c>
      <c r="T11" s="114"/>
      <c r="U11" s="245">
        <f t="shared" ref="U11:U30" si="4">+D11+E11</f>
        <v>1</v>
      </c>
      <c r="V11" s="222" t="s">
        <v>2614</v>
      </c>
      <c r="W11" s="222" t="s">
        <v>2499</v>
      </c>
      <c r="X11" s="223" t="s">
        <v>159</v>
      </c>
      <c r="Y11" s="58"/>
      <c r="Z11" s="58"/>
      <c r="AA11" s="363">
        <f t="shared" ref="AA11:AA30" si="5">IF(D11+E11&gt;0,IF(F11&gt;"u",0,IF(BA11="RR","RR",ROUND(BA11,1))),0)</f>
        <v>1.2</v>
      </c>
      <c r="AB11" s="358">
        <f t="shared" ref="AB11:AB30" si="6">IF(D11+E11&gt;0,IF(P11&gt;75,BD11,+BC11),0)</f>
        <v>2</v>
      </c>
      <c r="AC11" s="359">
        <f t="shared" ref="AC11:AC30" si="7">IF(D11+E11&gt;0,IF(P11&gt;75,BI11,BE11),0)</f>
        <v>2.5</v>
      </c>
      <c r="AD11" s="360">
        <f t="shared" ref="AD11:AD30" si="8">IF($C11&gt;0,ROUNDUP((($K11+$M11)/25),0)," ")</f>
        <v>2</v>
      </c>
      <c r="AE11" s="369">
        <f t="shared" ref="AE11:AE30" si="9">IF(C11&gt;0,(O11+10)*AD11/36,0)</f>
        <v>3.7222222222222223</v>
      </c>
      <c r="AF11" s="58" t="s">
        <v>24</v>
      </c>
      <c r="AG11" s="117">
        <f t="shared" ref="AG11:AG30" si="10">+G11*I11/144*(D11+E11)</f>
        <v>11.875</v>
      </c>
      <c r="AH11" s="114">
        <v>45</v>
      </c>
      <c r="AI11" s="114">
        <v>15</v>
      </c>
      <c r="AJ11" s="114">
        <v>35</v>
      </c>
      <c r="AK11" s="118"/>
      <c r="AL11" s="260">
        <f t="shared" ref="AL11:AL30" si="11">IF(C11&gt;0,AB11*Lining_Sew_Price)+AB11*sew_price*squeeze</f>
        <v>180</v>
      </c>
      <c r="AM11" s="119">
        <f t="shared" ref="AM11:AM30" si="12">IF($R$34=1,AB11*install_price*squeeze," ")</f>
        <v>60</v>
      </c>
      <c r="AN11" s="261">
        <f t="shared" ref="AN11:AN30" si="13">U11*AJ11*squeeze</f>
        <v>35</v>
      </c>
      <c r="AO11" s="119">
        <f t="shared" ref="AO11:AO30" si="14">AC11*AH11*squeeze</f>
        <v>112.5</v>
      </c>
      <c r="AP11" s="119">
        <f t="shared" ref="AP11:AP30" si="15">IF(C11&gt;0,AE11*AI11*squeeze," ")</f>
        <v>55.833333333333336</v>
      </c>
      <c r="AQ11" s="119">
        <f t="shared" ref="AQ11:AQ30" si="16">+AK11*squeeze</f>
        <v>0</v>
      </c>
      <c r="AR11" s="120">
        <f t="shared" ref="AR11:AR30" si="17">SUM(AL11:AQ11)</f>
        <v>443.33333333333331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1.2331081081081081</v>
      </c>
      <c r="BB11" s="121">
        <f>(+ROUNDUP(BA11*2,1))/2</f>
        <v>1.25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2</v>
      </c>
      <c r="BE11" s="121">
        <f>(ROUNDUP(2*BF11,0))/2</f>
        <v>2.5</v>
      </c>
      <c r="BF11" s="121">
        <f t="shared" ref="BF11:BF30" si="21">((IF(T11:T116,BH11,BG11))*AA11/36)*(IF(D11&gt;0,D11,E11))</f>
        <v>2.4333333333333331</v>
      </c>
      <c r="BG11" s="121">
        <f t="shared" ref="BG11:BG30" si="22">I11+16</f>
        <v>73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2613</v>
      </c>
      <c r="C12" s="156" t="s">
        <v>122</v>
      </c>
      <c r="D12" s="113"/>
      <c r="E12" s="114">
        <v>1</v>
      </c>
      <c r="F12" s="114" t="s">
        <v>144</v>
      </c>
      <c r="G12" s="112">
        <v>30</v>
      </c>
      <c r="H12" s="115">
        <v>3.5</v>
      </c>
      <c r="I12" s="112">
        <v>57</v>
      </c>
      <c r="J12" s="246" t="str">
        <f t="shared" ref="J12:J30" si="25">IF(F12="l","left",IF(F12="r","right",IF(F12="f","flat",IF(F12="d","dead",IF(F12="s","sor",IF(F12="st","sor t&amp;b",0))))))</f>
        <v>dead</v>
      </c>
      <c r="K12" s="246">
        <f t="shared" ref="K12:K30" si="26">+G12</f>
        <v>30</v>
      </c>
      <c r="L12" s="247" t="str">
        <f t="shared" ref="L12:L30" si="27">IF(F12&gt;"r",0,IF(G12&gt;0,"+",0))</f>
        <v>+</v>
      </c>
      <c r="M12" s="248">
        <f t="shared" si="0"/>
        <v>6.5</v>
      </c>
      <c r="N12" s="249" t="str">
        <f t="shared" ref="N12:N30" si="28">IF(G12&gt;0,"x",0)</f>
        <v>x</v>
      </c>
      <c r="O12" s="250">
        <f t="shared" si="1"/>
        <v>57</v>
      </c>
      <c r="P12" s="251">
        <f t="shared" si="2"/>
        <v>74</v>
      </c>
      <c r="Q12" s="355">
        <f t="shared" ref="Q12:Q30" si="29">IF(D12+E12&gt;0,IF(F12&gt;"u",0,IF(BA12="RR","RR",+BB12)),0)</f>
        <v>1.25</v>
      </c>
      <c r="R12" s="251">
        <f t="shared" si="3"/>
        <v>64</v>
      </c>
      <c r="S12" s="356">
        <f t="shared" ref="S12:S30" si="30">IF($C12&gt;0,ROUND(IF($R12&lt;59,($K12+$M12)/23,IF($R12&lt;65,($K12+$M12)/25,IF($R12&lt;75,($K12+$M12)/30,"RR"))),1)," ")</f>
        <v>1.5</v>
      </c>
      <c r="T12" s="114"/>
      <c r="U12" s="245">
        <f t="shared" si="4"/>
        <v>1</v>
      </c>
      <c r="V12" s="222" t="s">
        <v>2614</v>
      </c>
      <c r="W12" s="222" t="s">
        <v>2499</v>
      </c>
      <c r="X12" s="223" t="s">
        <v>159</v>
      </c>
      <c r="Y12" s="58"/>
      <c r="Z12" s="58"/>
      <c r="AA12" s="363">
        <f t="shared" si="5"/>
        <v>1.2</v>
      </c>
      <c r="AB12" s="358">
        <f t="shared" si="6"/>
        <v>2</v>
      </c>
      <c r="AC12" s="359">
        <f t="shared" si="7"/>
        <v>2.5</v>
      </c>
      <c r="AD12" s="360">
        <f t="shared" si="8"/>
        <v>2</v>
      </c>
      <c r="AE12" s="369">
        <f t="shared" si="9"/>
        <v>3.7222222222222223</v>
      </c>
      <c r="AF12" s="58" t="s">
        <v>25</v>
      </c>
      <c r="AG12" s="117">
        <f t="shared" si="10"/>
        <v>11.875</v>
      </c>
      <c r="AH12" s="114">
        <v>45</v>
      </c>
      <c r="AI12" s="114">
        <v>15</v>
      </c>
      <c r="AJ12" s="114">
        <v>35</v>
      </c>
      <c r="AK12" s="118"/>
      <c r="AL12" s="260">
        <f t="shared" si="11"/>
        <v>180</v>
      </c>
      <c r="AM12" s="119">
        <f t="shared" si="12"/>
        <v>60</v>
      </c>
      <c r="AN12" s="261">
        <f t="shared" si="13"/>
        <v>35</v>
      </c>
      <c r="AO12" s="119">
        <f t="shared" si="14"/>
        <v>112.5</v>
      </c>
      <c r="AP12" s="119">
        <f t="shared" si="15"/>
        <v>55.833333333333336</v>
      </c>
      <c r="AQ12" s="119">
        <f t="shared" si="16"/>
        <v>0</v>
      </c>
      <c r="AR12" s="120">
        <f t="shared" si="17"/>
        <v>443.33333333333331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1.2331081081081081</v>
      </c>
      <c r="BB12" s="121">
        <f t="shared" ref="BB12:BB30" si="32">(+ROUNDUP(BA12*2,1))/2</f>
        <v>1.25</v>
      </c>
      <c r="BC12" s="122">
        <f t="shared" si="19"/>
        <v>2</v>
      </c>
      <c r="BD12" s="122">
        <f t="shared" si="20"/>
        <v>2</v>
      </c>
      <c r="BE12" s="121">
        <f t="shared" ref="BE12:BE30" si="33">(ROUNDUP(2*BF12,0))/2</f>
        <v>2.5</v>
      </c>
      <c r="BF12" s="121">
        <f t="shared" si="21"/>
        <v>2.4333333333333331</v>
      </c>
      <c r="BG12" s="121">
        <f t="shared" si="22"/>
        <v>73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2615</v>
      </c>
      <c r="C13" s="156" t="s">
        <v>122</v>
      </c>
      <c r="D13" s="113"/>
      <c r="E13" s="114">
        <v>1</v>
      </c>
      <c r="F13" s="114" t="s">
        <v>144</v>
      </c>
      <c r="G13" s="112">
        <v>45</v>
      </c>
      <c r="H13" s="115">
        <v>3.5</v>
      </c>
      <c r="I13" s="112">
        <v>57</v>
      </c>
      <c r="J13" s="246" t="str">
        <f t="shared" si="25"/>
        <v>dead</v>
      </c>
      <c r="K13" s="246">
        <f t="shared" si="26"/>
        <v>45</v>
      </c>
      <c r="L13" s="247" t="str">
        <f t="shared" si="27"/>
        <v>+</v>
      </c>
      <c r="M13" s="248">
        <f t="shared" si="0"/>
        <v>6.5</v>
      </c>
      <c r="N13" s="249" t="str">
        <f t="shared" si="28"/>
        <v>x</v>
      </c>
      <c r="O13" s="250">
        <f t="shared" si="1"/>
        <v>57</v>
      </c>
      <c r="P13" s="251">
        <f t="shared" si="2"/>
        <v>74</v>
      </c>
      <c r="Q13" s="355">
        <f t="shared" si="29"/>
        <v>1.75</v>
      </c>
      <c r="R13" s="251">
        <f t="shared" si="3"/>
        <v>64</v>
      </c>
      <c r="S13" s="356">
        <f t="shared" si="30"/>
        <v>2.1</v>
      </c>
      <c r="T13" s="114"/>
      <c r="U13" s="245">
        <f t="shared" si="4"/>
        <v>1</v>
      </c>
      <c r="V13" s="222" t="s">
        <v>2614</v>
      </c>
      <c r="W13" s="222" t="s">
        <v>2499</v>
      </c>
      <c r="X13" s="223" t="s">
        <v>159</v>
      </c>
      <c r="Y13" s="58"/>
      <c r="Z13" s="58"/>
      <c r="AA13" s="363">
        <f t="shared" si="5"/>
        <v>1.7</v>
      </c>
      <c r="AB13" s="358">
        <f t="shared" si="6"/>
        <v>2</v>
      </c>
      <c r="AC13" s="359">
        <f t="shared" si="7"/>
        <v>3.5</v>
      </c>
      <c r="AD13" s="360">
        <f t="shared" si="8"/>
        <v>3</v>
      </c>
      <c r="AE13" s="369">
        <f t="shared" si="9"/>
        <v>5.583333333333333</v>
      </c>
      <c r="AF13" s="58" t="s">
        <v>26</v>
      </c>
      <c r="AG13" s="117">
        <f t="shared" si="10"/>
        <v>17.8125</v>
      </c>
      <c r="AH13" s="114">
        <v>45</v>
      </c>
      <c r="AI13" s="114">
        <v>15</v>
      </c>
      <c r="AJ13" s="114">
        <v>50</v>
      </c>
      <c r="AK13" s="118"/>
      <c r="AL13" s="260">
        <f t="shared" si="11"/>
        <v>180</v>
      </c>
      <c r="AM13" s="119">
        <f t="shared" si="12"/>
        <v>60</v>
      </c>
      <c r="AN13" s="261">
        <f t="shared" si="13"/>
        <v>50</v>
      </c>
      <c r="AO13" s="119">
        <f t="shared" si="14"/>
        <v>157.5</v>
      </c>
      <c r="AP13" s="119">
        <f t="shared" si="15"/>
        <v>83.75</v>
      </c>
      <c r="AQ13" s="119">
        <f t="shared" si="16"/>
        <v>0</v>
      </c>
      <c r="AR13" s="120">
        <f t="shared" si="17"/>
        <v>531.25</v>
      </c>
      <c r="AS13" s="185"/>
      <c r="AZ13" s="121">
        <f t="shared" si="31"/>
        <v>6.5</v>
      </c>
      <c r="BA13" s="121">
        <f t="shared" si="18"/>
        <v>1.7398648648648649</v>
      </c>
      <c r="BB13" s="121">
        <f t="shared" si="32"/>
        <v>1.75</v>
      </c>
      <c r="BC13" s="122">
        <f t="shared" si="19"/>
        <v>2</v>
      </c>
      <c r="BD13" s="122">
        <f t="shared" si="20"/>
        <v>3</v>
      </c>
      <c r="BE13" s="121">
        <f t="shared" si="33"/>
        <v>3.5</v>
      </c>
      <c r="BF13" s="121">
        <f t="shared" si="21"/>
        <v>3.447222222222222</v>
      </c>
      <c r="BG13" s="121">
        <f t="shared" si="22"/>
        <v>73</v>
      </c>
      <c r="BH13" s="121" t="e">
        <f t="shared" si="23"/>
        <v>#DIV/0!</v>
      </c>
      <c r="BI13" s="123">
        <f t="shared" si="24"/>
        <v>4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2616</v>
      </c>
      <c r="C14" s="156" t="s">
        <v>122</v>
      </c>
      <c r="D14" s="113"/>
      <c r="E14" s="114">
        <v>1</v>
      </c>
      <c r="F14" s="114" t="s">
        <v>144</v>
      </c>
      <c r="G14" s="112">
        <v>30</v>
      </c>
      <c r="H14" s="115">
        <v>3.5</v>
      </c>
      <c r="I14" s="112">
        <v>57</v>
      </c>
      <c r="J14" s="246" t="str">
        <f t="shared" si="25"/>
        <v>dead</v>
      </c>
      <c r="K14" s="246">
        <f t="shared" si="26"/>
        <v>30</v>
      </c>
      <c r="L14" s="247" t="str">
        <f t="shared" si="27"/>
        <v>+</v>
      </c>
      <c r="M14" s="248">
        <f t="shared" si="0"/>
        <v>6.5</v>
      </c>
      <c r="N14" s="249" t="str">
        <f t="shared" si="28"/>
        <v>x</v>
      </c>
      <c r="O14" s="250">
        <f t="shared" si="1"/>
        <v>57</v>
      </c>
      <c r="P14" s="251">
        <f t="shared" si="2"/>
        <v>74</v>
      </c>
      <c r="Q14" s="355">
        <f t="shared" si="29"/>
        <v>1.25</v>
      </c>
      <c r="R14" s="251">
        <f t="shared" si="3"/>
        <v>60</v>
      </c>
      <c r="S14" s="356">
        <f t="shared" si="30"/>
        <v>1.5</v>
      </c>
      <c r="T14" s="114">
        <v>0</v>
      </c>
      <c r="U14" s="245">
        <f t="shared" si="4"/>
        <v>1</v>
      </c>
      <c r="V14" s="222" t="s">
        <v>2614</v>
      </c>
      <c r="W14" s="222" t="s">
        <v>2499</v>
      </c>
      <c r="X14" s="223" t="s">
        <v>158</v>
      </c>
      <c r="Y14" s="58"/>
      <c r="Z14" s="58"/>
      <c r="AA14" s="363">
        <f t="shared" si="5"/>
        <v>1.2</v>
      </c>
      <c r="AB14" s="358">
        <f t="shared" si="6"/>
        <v>2</v>
      </c>
      <c r="AC14" s="359">
        <f t="shared" si="7"/>
        <v>2.5</v>
      </c>
      <c r="AD14" s="360">
        <f t="shared" si="8"/>
        <v>2</v>
      </c>
      <c r="AE14" s="369">
        <f t="shared" si="9"/>
        <v>3.7222222222222223</v>
      </c>
      <c r="AF14" s="58" t="s">
        <v>27</v>
      </c>
      <c r="AG14" s="117">
        <f t="shared" si="10"/>
        <v>11.875</v>
      </c>
      <c r="AH14" s="114">
        <v>45</v>
      </c>
      <c r="AI14" s="114">
        <v>20</v>
      </c>
      <c r="AJ14" s="114">
        <v>35</v>
      </c>
      <c r="AK14" s="118"/>
      <c r="AL14" s="260">
        <f t="shared" si="11"/>
        <v>180</v>
      </c>
      <c r="AM14" s="119">
        <f t="shared" si="12"/>
        <v>60</v>
      </c>
      <c r="AN14" s="261">
        <f t="shared" si="13"/>
        <v>35</v>
      </c>
      <c r="AO14" s="119">
        <f t="shared" si="14"/>
        <v>112.5</v>
      </c>
      <c r="AP14" s="119">
        <f t="shared" si="15"/>
        <v>74.444444444444443</v>
      </c>
      <c r="AQ14" s="119">
        <f t="shared" si="16"/>
        <v>0</v>
      </c>
      <c r="AR14" s="120">
        <f t="shared" si="17"/>
        <v>461.94444444444446</v>
      </c>
      <c r="AS14" s="185"/>
      <c r="AZ14" s="121">
        <f t="shared" si="31"/>
        <v>6.5</v>
      </c>
      <c r="BA14" s="121">
        <f t="shared" si="18"/>
        <v>1.2331081081081081</v>
      </c>
      <c r="BB14" s="121">
        <f t="shared" si="32"/>
        <v>1.25</v>
      </c>
      <c r="BC14" s="122">
        <f t="shared" si="19"/>
        <v>2</v>
      </c>
      <c r="BD14" s="122">
        <f t="shared" si="20"/>
        <v>2</v>
      </c>
      <c r="BE14" s="121">
        <f t="shared" si="33"/>
        <v>2.5</v>
      </c>
      <c r="BF14" s="121">
        <f t="shared" si="21"/>
        <v>2.4333333333333331</v>
      </c>
      <c r="BG14" s="121">
        <f t="shared" si="22"/>
        <v>73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2616</v>
      </c>
      <c r="C15" s="156" t="s">
        <v>122</v>
      </c>
      <c r="D15" s="113"/>
      <c r="E15" s="114">
        <v>1</v>
      </c>
      <c r="F15" s="114" t="s">
        <v>144</v>
      </c>
      <c r="G15" s="112">
        <v>30</v>
      </c>
      <c r="H15" s="115">
        <v>3.5</v>
      </c>
      <c r="I15" s="112">
        <v>57</v>
      </c>
      <c r="J15" s="246" t="str">
        <f t="shared" si="25"/>
        <v>dead</v>
      </c>
      <c r="K15" s="246">
        <f t="shared" si="26"/>
        <v>30</v>
      </c>
      <c r="L15" s="247" t="str">
        <f t="shared" si="27"/>
        <v>+</v>
      </c>
      <c r="M15" s="248">
        <f t="shared" si="0"/>
        <v>6.5</v>
      </c>
      <c r="N15" s="249" t="str">
        <f t="shared" si="28"/>
        <v>x</v>
      </c>
      <c r="O15" s="250">
        <f t="shared" si="1"/>
        <v>57</v>
      </c>
      <c r="P15" s="251">
        <f t="shared" si="2"/>
        <v>74</v>
      </c>
      <c r="Q15" s="355">
        <f t="shared" si="29"/>
        <v>1.25</v>
      </c>
      <c r="R15" s="251">
        <f t="shared" si="3"/>
        <v>60</v>
      </c>
      <c r="S15" s="356">
        <f t="shared" si="30"/>
        <v>1.5</v>
      </c>
      <c r="T15" s="114">
        <v>0</v>
      </c>
      <c r="U15" s="245">
        <f t="shared" si="4"/>
        <v>1</v>
      </c>
      <c r="V15" s="222" t="s">
        <v>2614</v>
      </c>
      <c r="W15" s="222" t="s">
        <v>2499</v>
      </c>
      <c r="X15" s="223" t="s">
        <v>158</v>
      </c>
      <c r="Y15" s="58"/>
      <c r="Z15" s="58"/>
      <c r="AA15" s="363">
        <f t="shared" si="5"/>
        <v>1.2</v>
      </c>
      <c r="AB15" s="358">
        <f t="shared" si="6"/>
        <v>2</v>
      </c>
      <c r="AC15" s="359">
        <f t="shared" si="7"/>
        <v>2.5</v>
      </c>
      <c r="AD15" s="360">
        <f t="shared" si="8"/>
        <v>2</v>
      </c>
      <c r="AE15" s="369">
        <f t="shared" si="9"/>
        <v>3.7222222222222223</v>
      </c>
      <c r="AF15" s="58" t="s">
        <v>28</v>
      </c>
      <c r="AG15" s="117">
        <f t="shared" si="10"/>
        <v>11.875</v>
      </c>
      <c r="AH15" s="114">
        <v>45</v>
      </c>
      <c r="AI15" s="114">
        <v>20</v>
      </c>
      <c r="AJ15" s="114">
        <v>35</v>
      </c>
      <c r="AK15" s="118"/>
      <c r="AL15" s="260">
        <f t="shared" si="11"/>
        <v>180</v>
      </c>
      <c r="AM15" s="119">
        <f t="shared" si="12"/>
        <v>60</v>
      </c>
      <c r="AN15" s="261">
        <f t="shared" si="13"/>
        <v>35</v>
      </c>
      <c r="AO15" s="119">
        <f t="shared" si="14"/>
        <v>112.5</v>
      </c>
      <c r="AP15" s="119">
        <f t="shared" si="15"/>
        <v>74.444444444444443</v>
      </c>
      <c r="AQ15" s="119">
        <f t="shared" si="16"/>
        <v>0</v>
      </c>
      <c r="AR15" s="120">
        <f t="shared" si="17"/>
        <v>461.94444444444446</v>
      </c>
      <c r="AS15" s="185"/>
      <c r="AZ15" s="121">
        <f t="shared" si="31"/>
        <v>6.5</v>
      </c>
      <c r="BA15" s="121">
        <f t="shared" si="18"/>
        <v>1.2331081081081081</v>
      </c>
      <c r="BB15" s="121">
        <f t="shared" si="32"/>
        <v>1.25</v>
      </c>
      <c r="BC15" s="122">
        <f t="shared" si="19"/>
        <v>2</v>
      </c>
      <c r="BD15" s="122">
        <f t="shared" si="20"/>
        <v>2</v>
      </c>
      <c r="BE15" s="121">
        <f t="shared" si="33"/>
        <v>2.5</v>
      </c>
      <c r="BF15" s="121">
        <f t="shared" si="21"/>
        <v>2.4333333333333331</v>
      </c>
      <c r="BG15" s="121">
        <f t="shared" si="22"/>
        <v>73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2617</v>
      </c>
      <c r="C16" s="156" t="s">
        <v>122</v>
      </c>
      <c r="D16" s="113"/>
      <c r="E16" s="114">
        <v>1</v>
      </c>
      <c r="F16" s="114" t="s">
        <v>148</v>
      </c>
      <c r="G16" s="112">
        <v>23</v>
      </c>
      <c r="H16" s="115"/>
      <c r="I16" s="112">
        <v>36</v>
      </c>
      <c r="J16" s="246" t="str">
        <f t="shared" si="25"/>
        <v>sor t&amp;b</v>
      </c>
      <c r="K16" s="246">
        <f t="shared" si="26"/>
        <v>23</v>
      </c>
      <c r="L16" s="247">
        <f t="shared" si="27"/>
        <v>0</v>
      </c>
      <c r="M16" s="248">
        <f t="shared" si="0"/>
        <v>0</v>
      </c>
      <c r="N16" s="249" t="str">
        <f t="shared" si="28"/>
        <v>x</v>
      </c>
      <c r="O16" s="250">
        <f t="shared" si="1"/>
        <v>36</v>
      </c>
      <c r="P16" s="251">
        <f t="shared" si="2"/>
        <v>74</v>
      </c>
      <c r="Q16" s="355">
        <f t="shared" si="29"/>
        <v>0.8</v>
      </c>
      <c r="R16" s="251">
        <f t="shared" si="3"/>
        <v>64</v>
      </c>
      <c r="S16" s="356">
        <f t="shared" si="30"/>
        <v>0.9</v>
      </c>
      <c r="T16" s="114">
        <v>0</v>
      </c>
      <c r="U16" s="245">
        <v>2</v>
      </c>
      <c r="V16" s="222" t="s">
        <v>2618</v>
      </c>
      <c r="W16" s="222" t="s">
        <v>2499</v>
      </c>
      <c r="X16" s="223" t="s">
        <v>159</v>
      </c>
      <c r="Y16" s="143" t="s">
        <v>2619</v>
      </c>
      <c r="Z16" s="58"/>
      <c r="AA16" s="363">
        <f t="shared" si="5"/>
        <v>0.8</v>
      </c>
      <c r="AB16" s="358">
        <f t="shared" si="6"/>
        <v>2</v>
      </c>
      <c r="AC16" s="359">
        <f t="shared" si="7"/>
        <v>1.5</v>
      </c>
      <c r="AD16" s="360">
        <f t="shared" si="8"/>
        <v>1</v>
      </c>
      <c r="AE16" s="369">
        <f t="shared" si="9"/>
        <v>1.2777777777777777</v>
      </c>
      <c r="AF16" s="58" t="s">
        <v>29</v>
      </c>
      <c r="AG16" s="117">
        <f t="shared" si="10"/>
        <v>5.75</v>
      </c>
      <c r="AH16" s="114">
        <v>45</v>
      </c>
      <c r="AI16" s="114">
        <v>15</v>
      </c>
      <c r="AJ16" s="114">
        <v>15</v>
      </c>
      <c r="AK16" s="118"/>
      <c r="AL16" s="260">
        <f t="shared" si="11"/>
        <v>180</v>
      </c>
      <c r="AM16" s="119">
        <f t="shared" si="12"/>
        <v>60</v>
      </c>
      <c r="AN16" s="261">
        <f t="shared" si="13"/>
        <v>30</v>
      </c>
      <c r="AO16" s="119">
        <f t="shared" si="14"/>
        <v>67.5</v>
      </c>
      <c r="AP16" s="119">
        <f t="shared" si="15"/>
        <v>19.166666666666664</v>
      </c>
      <c r="AQ16" s="119">
        <f t="shared" si="16"/>
        <v>0</v>
      </c>
      <c r="AR16" s="120">
        <f t="shared" si="17"/>
        <v>356.66666666666669</v>
      </c>
      <c r="AS16" s="185"/>
      <c r="AZ16" s="121">
        <f t="shared" si="31"/>
        <v>3</v>
      </c>
      <c r="BA16" s="121">
        <f t="shared" si="18"/>
        <v>0.77702702702702697</v>
      </c>
      <c r="BB16" s="121">
        <f t="shared" si="32"/>
        <v>0.8</v>
      </c>
      <c r="BC16" s="122">
        <f t="shared" si="19"/>
        <v>2</v>
      </c>
      <c r="BD16" s="122">
        <f t="shared" si="20"/>
        <v>1</v>
      </c>
      <c r="BE16" s="121">
        <f t="shared" si="33"/>
        <v>1.5</v>
      </c>
      <c r="BF16" s="121">
        <f t="shared" si="21"/>
        <v>1.1555555555555557</v>
      </c>
      <c r="BG16" s="121">
        <f t="shared" si="22"/>
        <v>52</v>
      </c>
      <c r="BH16" s="121" t="e">
        <f t="shared" si="23"/>
        <v>#DIV/0!</v>
      </c>
      <c r="BI16" s="123">
        <f t="shared" si="24"/>
        <v>2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5">
        <f t="shared" si="29"/>
        <v>0</v>
      </c>
      <c r="R17" s="251" t="str">
        <f t="shared" si="3"/>
        <v xml:space="preserve"> </v>
      </c>
      <c r="S17" s="356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3">
        <f t="shared" si="5"/>
        <v>0</v>
      </c>
      <c r="AB17" s="358">
        <f t="shared" si="6"/>
        <v>0</v>
      </c>
      <c r="AC17" s="359">
        <f t="shared" si="7"/>
        <v>0</v>
      </c>
      <c r="AD17" s="360" t="str">
        <f t="shared" si="8"/>
        <v xml:space="preserve"> </v>
      </c>
      <c r="AE17" s="369">
        <f t="shared" si="9"/>
        <v>0</v>
      </c>
      <c r="AF17" s="58" t="s">
        <v>30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>
        <f t="shared" si="12"/>
        <v>0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5">
        <f t="shared" si="29"/>
        <v>0</v>
      </c>
      <c r="R18" s="251" t="str">
        <f t="shared" si="3"/>
        <v xml:space="preserve"> </v>
      </c>
      <c r="S18" s="356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3">
        <f t="shared" si="5"/>
        <v>0</v>
      </c>
      <c r="AB18" s="358">
        <f t="shared" si="6"/>
        <v>0</v>
      </c>
      <c r="AC18" s="359">
        <f t="shared" si="7"/>
        <v>0</v>
      </c>
      <c r="AD18" s="360" t="str">
        <f t="shared" si="8"/>
        <v xml:space="preserve"> </v>
      </c>
      <c r="AE18" s="369">
        <f t="shared" si="9"/>
        <v>0</v>
      </c>
      <c r="AF18" s="58" t="s">
        <v>31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5">
        <f t="shared" si="29"/>
        <v>0</v>
      </c>
      <c r="R19" s="251" t="str">
        <f t="shared" si="3"/>
        <v xml:space="preserve"> </v>
      </c>
      <c r="S19" s="356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3">
        <f t="shared" si="5"/>
        <v>0</v>
      </c>
      <c r="AB19" s="358">
        <f t="shared" si="6"/>
        <v>0</v>
      </c>
      <c r="AC19" s="359">
        <f t="shared" si="7"/>
        <v>0</v>
      </c>
      <c r="AD19" s="360" t="str">
        <f t="shared" si="8"/>
        <v xml:space="preserve"> </v>
      </c>
      <c r="AE19" s="369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5">
        <f t="shared" si="29"/>
        <v>0</v>
      </c>
      <c r="R20" s="251" t="str">
        <f t="shared" si="3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5"/>
        <v>0</v>
      </c>
      <c r="AB20" s="358">
        <f t="shared" si="6"/>
        <v>0</v>
      </c>
      <c r="AC20" s="359">
        <f t="shared" si="7"/>
        <v>0</v>
      </c>
      <c r="AD20" s="360" t="str">
        <f t="shared" si="8"/>
        <v xml:space="preserve"> </v>
      </c>
      <c r="AE20" s="369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5">
        <f t="shared" si="29"/>
        <v>0</v>
      </c>
      <c r="R21" s="251" t="str">
        <f t="shared" si="3"/>
        <v xml:space="preserve"> </v>
      </c>
      <c r="S21" s="356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3">
        <f t="shared" si="5"/>
        <v>0</v>
      </c>
      <c r="AB21" s="358">
        <f t="shared" si="6"/>
        <v>0</v>
      </c>
      <c r="AC21" s="359">
        <f t="shared" si="7"/>
        <v>0</v>
      </c>
      <c r="AD21" s="360" t="str">
        <f t="shared" si="8"/>
        <v xml:space="preserve"> </v>
      </c>
      <c r="AE21" s="369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5">
        <f t="shared" si="29"/>
        <v>0</v>
      </c>
      <c r="R22" s="251" t="str">
        <f t="shared" si="3"/>
        <v xml:space="preserve"> </v>
      </c>
      <c r="S22" s="356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3">
        <f t="shared" si="5"/>
        <v>0</v>
      </c>
      <c r="AB22" s="358">
        <f t="shared" si="6"/>
        <v>0</v>
      </c>
      <c r="AC22" s="359">
        <f t="shared" si="7"/>
        <v>0</v>
      </c>
      <c r="AD22" s="360" t="str">
        <f t="shared" si="8"/>
        <v xml:space="preserve"> </v>
      </c>
      <c r="AE22" s="369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80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5">
        <f t="shared" si="29"/>
        <v>0</v>
      </c>
      <c r="R23" s="251" t="str">
        <f t="shared" si="3"/>
        <v xml:space="preserve"> </v>
      </c>
      <c r="S23" s="356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3">
        <f t="shared" si="5"/>
        <v>0</v>
      </c>
      <c r="AB23" s="358">
        <f t="shared" si="6"/>
        <v>0</v>
      </c>
      <c r="AC23" s="359">
        <f t="shared" si="7"/>
        <v>0</v>
      </c>
      <c r="AD23" s="360" t="str">
        <f t="shared" si="8"/>
        <v xml:space="preserve"> </v>
      </c>
      <c r="AE23" s="369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5">
        <f t="shared" si="29"/>
        <v>0</v>
      </c>
      <c r="R24" s="251" t="str">
        <f t="shared" si="3"/>
        <v xml:space="preserve"> </v>
      </c>
      <c r="S24" s="356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3">
        <f t="shared" si="5"/>
        <v>0</v>
      </c>
      <c r="AB24" s="358">
        <f t="shared" si="6"/>
        <v>0</v>
      </c>
      <c r="AC24" s="359">
        <f t="shared" si="7"/>
        <v>0</v>
      </c>
      <c r="AD24" s="360" t="str">
        <f t="shared" si="8"/>
        <v xml:space="preserve"> </v>
      </c>
      <c r="AE24" s="369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5">
        <f t="shared" si="29"/>
        <v>0</v>
      </c>
      <c r="R25" s="251" t="str">
        <f t="shared" si="3"/>
        <v xml:space="preserve"> </v>
      </c>
      <c r="S25" s="356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3">
        <f t="shared" si="5"/>
        <v>0</v>
      </c>
      <c r="AB25" s="358">
        <f t="shared" si="6"/>
        <v>0</v>
      </c>
      <c r="AC25" s="359">
        <f t="shared" si="7"/>
        <v>0</v>
      </c>
      <c r="AD25" s="360" t="str">
        <f t="shared" si="8"/>
        <v xml:space="preserve"> </v>
      </c>
      <c r="AE25" s="369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5">
        <f t="shared" si="29"/>
        <v>0</v>
      </c>
      <c r="R26" s="251" t="str">
        <f t="shared" si="3"/>
        <v xml:space="preserve"> </v>
      </c>
      <c r="S26" s="356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3">
        <f t="shared" si="5"/>
        <v>0</v>
      </c>
      <c r="AB26" s="358">
        <f t="shared" si="6"/>
        <v>0</v>
      </c>
      <c r="AC26" s="359">
        <f t="shared" si="7"/>
        <v>0</v>
      </c>
      <c r="AD26" s="360" t="str">
        <f t="shared" si="8"/>
        <v xml:space="preserve"> </v>
      </c>
      <c r="AE26" s="369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5">
        <f t="shared" si="29"/>
        <v>0</v>
      </c>
      <c r="R27" s="251" t="str">
        <f t="shared" si="3"/>
        <v xml:space="preserve"> </v>
      </c>
      <c r="S27" s="356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3">
        <f t="shared" si="5"/>
        <v>0</v>
      </c>
      <c r="AB27" s="358">
        <f t="shared" si="6"/>
        <v>0</v>
      </c>
      <c r="AC27" s="359">
        <f t="shared" si="7"/>
        <v>0</v>
      </c>
      <c r="AD27" s="360" t="str">
        <f t="shared" si="8"/>
        <v xml:space="preserve"> </v>
      </c>
      <c r="AE27" s="369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5">
        <f t="shared" si="29"/>
        <v>0</v>
      </c>
      <c r="R28" s="251" t="str">
        <f t="shared" si="3"/>
        <v xml:space="preserve"> </v>
      </c>
      <c r="S28" s="356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3">
        <f t="shared" si="5"/>
        <v>0</v>
      </c>
      <c r="AB28" s="358">
        <f t="shared" si="6"/>
        <v>0</v>
      </c>
      <c r="AC28" s="359">
        <f t="shared" si="7"/>
        <v>0</v>
      </c>
      <c r="AD28" s="360" t="str">
        <f t="shared" si="8"/>
        <v xml:space="preserve"> </v>
      </c>
      <c r="AE28" s="369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5">
        <f t="shared" si="29"/>
        <v>0</v>
      </c>
      <c r="R29" s="251" t="str">
        <f t="shared" si="3"/>
        <v xml:space="preserve"> </v>
      </c>
      <c r="S29" s="356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3">
        <f t="shared" si="5"/>
        <v>0</v>
      </c>
      <c r="AB29" s="358">
        <f t="shared" si="6"/>
        <v>0</v>
      </c>
      <c r="AC29" s="359">
        <f t="shared" si="7"/>
        <v>0</v>
      </c>
      <c r="AD29" s="360" t="str">
        <f t="shared" si="8"/>
        <v xml:space="preserve"> </v>
      </c>
      <c r="AE29" s="369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5">
        <f t="shared" si="29"/>
        <v>0</v>
      </c>
      <c r="R30" s="251" t="str">
        <f t="shared" si="3"/>
        <v xml:space="preserve"> </v>
      </c>
      <c r="S30" s="356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3">
        <f t="shared" si="5"/>
        <v>0</v>
      </c>
      <c r="AB30" s="358">
        <f t="shared" si="6"/>
        <v>0</v>
      </c>
      <c r="AC30" s="359">
        <f t="shared" si="7"/>
        <v>0</v>
      </c>
      <c r="AD30" s="360" t="str">
        <f t="shared" si="8"/>
        <v xml:space="preserve"> </v>
      </c>
      <c r="AE30" s="369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15</v>
      </c>
      <c r="AD31" s="362"/>
      <c r="AE31" s="357">
        <f>SUM(AE11:AE30)</f>
        <v>21.75</v>
      </c>
      <c r="AF31" s="124" t="s">
        <v>17</v>
      </c>
      <c r="AG31" s="125"/>
      <c r="AL31" s="126">
        <f t="shared" ref="AL31:AQ31" si="34">SUM(AL11:AL30)</f>
        <v>1080</v>
      </c>
      <c r="AM31" s="127">
        <f t="shared" si="34"/>
        <v>360</v>
      </c>
      <c r="AN31" s="128">
        <f t="shared" si="34"/>
        <v>220</v>
      </c>
      <c r="AO31" s="163">
        <f t="shared" si="34"/>
        <v>675</v>
      </c>
      <c r="AP31" s="163">
        <f t="shared" si="34"/>
        <v>363.47222222222229</v>
      </c>
      <c r="AQ31" s="163">
        <f t="shared" si="34"/>
        <v>0</v>
      </c>
      <c r="AR31" s="159">
        <f>SUM(AL31:AQ31)</f>
        <v>2698.4722222222222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 t="s">
        <v>40</v>
      </c>
      <c r="W32" s="256"/>
      <c r="X32" s="256"/>
      <c r="Y32" s="304" t="s">
        <v>2551</v>
      </c>
      <c r="Z32" s="343">
        <f>AC31+'Worksheet 2'!AC31</f>
        <v>15</v>
      </c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0</v>
      </c>
      <c r="AR32" s="396">
        <f>AR31+AQ32+AM35</f>
        <v>2700.0022222222224</v>
      </c>
      <c r="AS32" s="426" t="s">
        <v>2596</v>
      </c>
      <c r="AT32" s="427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4" t="s">
        <v>2552</v>
      </c>
      <c r="Z33" s="343">
        <f>AE31+'Worksheet 2'!AE31</f>
        <v>21.75</v>
      </c>
      <c r="AA33" s="43"/>
      <c r="AB33" s="424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100</v>
      </c>
      <c r="AR33" s="404">
        <v>600</v>
      </c>
      <c r="AS33" s="426"/>
      <c r="AT33" s="427"/>
      <c r="AX33" s="416" t="s">
        <v>2603</v>
      </c>
      <c r="AY33" s="416"/>
      <c r="AZ33" s="416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5" t="s">
        <v>2553</v>
      </c>
      <c r="O34" s="343">
        <f>SUM(Q43+S43+'Worksheet 2'!O34)/sew_price*10</f>
        <v>2.7583333333333333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175</v>
      </c>
      <c r="AS34" s="187"/>
      <c r="AX34" s="425" t="s">
        <v>2598</v>
      </c>
      <c r="AY34" s="425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 t="s">
        <v>2620</v>
      </c>
      <c r="G35" s="58" t="s">
        <v>2621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>
        <v>1.53</v>
      </c>
      <c r="AN35" s="411" t="s">
        <v>13</v>
      </c>
      <c r="AP35" s="138" t="s">
        <v>2524</v>
      </c>
      <c r="AQ35" s="129"/>
      <c r="AR35" s="194"/>
      <c r="AS35" s="188"/>
      <c r="AX35" s="425" t="s">
        <v>2599</v>
      </c>
      <c r="AY35" s="425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3575.0022222222224</v>
      </c>
      <c r="AS36" s="188"/>
      <c r="AT36" s="183" t="b">
        <v>0</v>
      </c>
      <c r="AX36" s="415" t="s">
        <v>2600</v>
      </c>
      <c r="AY36" s="415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17" t="s">
        <v>21</v>
      </c>
      <c r="W37" s="418"/>
      <c r="X37" s="79" t="s">
        <v>2622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15" t="s">
        <v>2601</v>
      </c>
      <c r="AY37" s="415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6"/>
      <c r="AQ38" s="410" t="s">
        <v>23</v>
      </c>
      <c r="AR38" s="407">
        <f>SUM(AR36:AR37)</f>
        <v>3575.0022222222224</v>
      </c>
      <c r="AS38" s="189"/>
      <c r="AX38" s="415" t="s">
        <v>2602</v>
      </c>
      <c r="AY38" s="415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7.55</v>
      </c>
      <c r="S43" s="353">
        <f>SUM(S11:S30)</f>
        <v>9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5 U21:U30 U17:U18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70" zoomScaleNormal="100" zoomScaleSheetLayoutView="100" workbookViewId="0">
      <selection activeCell="R79" sqref="C1:R7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Zuni Annex  WO#J5104785-00267 </v>
      </c>
      <c r="E1" s="22"/>
      <c r="F1" s="23"/>
      <c r="G1" s="22"/>
      <c r="H1" s="24"/>
      <c r="I1" s="25">
        <f>+Worksheet!$AR$1</f>
        <v>32990</v>
      </c>
      <c r="J1" s="26"/>
      <c r="L1" s="165" t="s">
        <v>113</v>
      </c>
      <c r="M1" s="21" t="str">
        <f>+Worksheet!$W$4</f>
        <v xml:space="preserve">Zuni Annex  WO#J5104785-00267 </v>
      </c>
      <c r="N1" s="22"/>
      <c r="O1" s="23"/>
      <c r="P1" s="22"/>
      <c r="Q1" s="24"/>
      <c r="R1" s="25">
        <f>+Worksheet!$AR$1</f>
        <v>32990</v>
      </c>
    </row>
    <row r="2" spans="1:18" ht="33" customHeight="1">
      <c r="C2" s="166" t="s">
        <v>128</v>
      </c>
      <c r="D2" s="151" cm="1">
        <f t="array" aca="1" ref="D2" ca="1">INDIRECT("'Worksheet'!$K"&amp;$B1)</f>
        <v>30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57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30</v>
      </c>
      <c r="N2" s="152" t="s">
        <v>115</v>
      </c>
      <c r="O2" s="153">
        <f ca="1">F2</f>
        <v>6.5</v>
      </c>
      <c r="P2" s="152" t="s">
        <v>122</v>
      </c>
      <c r="Q2" s="154">
        <f ca="1">H2</f>
        <v>57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91.25</v>
      </c>
      <c r="E3" s="19" t="s">
        <v>122</v>
      </c>
      <c r="F3" s="370">
        <f ca="1">H2+15</f>
        <v>72</v>
      </c>
      <c r="G3" s="444" cm="1">
        <f t="array" aca="1" ref="G3" ca="1">INDIRECT("'Worksheet'!$Y"&amp;$B1)</f>
        <v>0</v>
      </c>
      <c r="H3" s="444"/>
      <c r="I3" s="445"/>
      <c r="L3" s="165" t="s">
        <v>121</v>
      </c>
      <c r="M3">
        <f t="shared" ca="1" si="0"/>
        <v>91.25</v>
      </c>
      <c r="N3" s="19" t="s">
        <v>122</v>
      </c>
      <c r="O3" s="370">
        <f ca="1">F3</f>
        <v>72</v>
      </c>
      <c r="P3" s="446">
        <f ca="1">G3</f>
        <v>0</v>
      </c>
      <c r="Q3" s="446"/>
      <c r="R3" s="447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1.25</v>
      </c>
      <c r="E4" s="42" t="s">
        <v>41</v>
      </c>
      <c r="F4" s="371"/>
      <c r="G4" s="444"/>
      <c r="H4" s="444"/>
      <c r="I4" s="445"/>
      <c r="L4" s="167"/>
      <c r="M4" s="162">
        <f t="shared" ca="1" si="0"/>
        <v>1.25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>
        <f ca="1">+IF(D9="yes",IF($D11="Left of Pair",($D6*$H9),IF($D11="Panel",$D6*$H9,IF($H11="SOR",$D6*$H9," ")))," ")</f>
        <v>96</v>
      </c>
      <c r="E5" s="19" t="s">
        <v>122</v>
      </c>
      <c r="F5" s="370">
        <f ca="1">IF(D9="YES",H2+12," ")</f>
        <v>69</v>
      </c>
      <c r="H5" s="344" t="s">
        <v>10</v>
      </c>
      <c r="I5" s="372" cm="1">
        <f t="array" aca="1" ref="I5" ca="1">INDIRECT("'Worksheet'!$Q"&amp;B1)</f>
        <v>1.25</v>
      </c>
      <c r="L5" s="165" t="s">
        <v>135</v>
      </c>
      <c r="M5">
        <f t="shared" ca="1" si="0"/>
        <v>96</v>
      </c>
      <c r="N5" s="19" t="s">
        <v>122</v>
      </c>
      <c r="O5" s="370">
        <f ca="1">F5</f>
        <v>69</v>
      </c>
      <c r="P5" s="19"/>
      <c r="Q5" s="344" t="s">
        <v>10</v>
      </c>
      <c r="R5" s="161">
        <f ca="1">I5</f>
        <v>1.25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1.5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36.5</v>
      </c>
      <c r="L6" s="168"/>
      <c r="M6" s="345">
        <f t="shared" ca="1" si="0"/>
        <v>1.5</v>
      </c>
      <c r="N6" s="346" t="s">
        <v>41</v>
      </c>
      <c r="O6" s="373"/>
      <c r="P6" s="20"/>
      <c r="Q6" s="344" t="s">
        <v>116</v>
      </c>
      <c r="R6" s="32">
        <f ca="1">I6</f>
        <v>36.5</v>
      </c>
    </row>
    <row r="7" spans="1:18" ht="15" customHeight="1">
      <c r="C7" s="169" t="s">
        <v>114</v>
      </c>
      <c r="D7" s="374" t="str" cm="1">
        <f t="array" aca="1" ref="D7" ca="1">INDIRECT("'Worksheet'!$B"&amp;$B1)</f>
        <v>Living Room</v>
      </c>
      <c r="E7" s="22"/>
      <c r="F7" s="23"/>
      <c r="G7" s="22"/>
      <c r="H7" s="24"/>
      <c r="I7" s="451" t="str" cm="1">
        <f t="array" aca="1" ref="I7" ca="1">INDIRECT("'Worksheet'!$A"&amp;$B1)</f>
        <v>P1-1</v>
      </c>
      <c r="L7" s="169" t="s">
        <v>114</v>
      </c>
      <c r="M7" s="31" t="str">
        <f t="shared" ca="1" si="0"/>
        <v>Living Room</v>
      </c>
      <c r="N7" s="20"/>
      <c r="O7" s="33"/>
      <c r="P7" s="27"/>
      <c r="Q7" s="24"/>
      <c r="R7" s="451" t="str">
        <f ca="1">I7</f>
        <v>P1-1</v>
      </c>
    </row>
    <row r="8" spans="1:18" ht="15.75" customHeight="1">
      <c r="C8" s="165" t="s">
        <v>117</v>
      </c>
      <c r="D8" s="347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52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>YES</v>
      </c>
      <c r="E9" s="348" t="str" cm="1">
        <f t="array" aca="1" ref="E9" ca="1">INDIRECT("'Worksheet'!$X"&amp;$B1)</f>
        <v xml:space="preserve">Flameguard </v>
      </c>
      <c r="F9" s="39"/>
      <c r="G9" s="20"/>
      <c r="H9" s="393" cm="1">
        <f t="array" aca="1" ref="H9" ca="1">INDIRECT("'Worksheet'!$R"&amp;$B1)</f>
        <v>64</v>
      </c>
      <c r="I9" s="452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4">
        <f ca="1">H9</f>
        <v>64</v>
      </c>
      <c r="R9" s="452"/>
    </row>
    <row r="10" spans="1:18" ht="15.75" customHeight="1">
      <c r="C10" s="165" t="s">
        <v>13</v>
      </c>
      <c r="D10" s="348" t="str" cm="1">
        <f t="array" aca="1" ref="D10" ca="1">INDIRECT("'Worksheet'!$W"&amp;$B1)</f>
        <v>5th Avenue 72</v>
      </c>
      <c r="E10" s="22"/>
      <c r="F10" s="23"/>
      <c r="G10" s="22"/>
      <c r="H10" s="393" cm="1">
        <f t="array" aca="1" ref="H10" ca="1">INDIRECT("'Worksheet'!$P"&amp;$B1)</f>
        <v>74</v>
      </c>
      <c r="I10" s="453"/>
      <c r="L10" s="165" t="s">
        <v>13</v>
      </c>
      <c r="M10" s="21" t="str">
        <f t="shared" ca="1" si="0"/>
        <v>5th Avenue 72</v>
      </c>
      <c r="N10" s="22"/>
      <c r="O10" s="23"/>
      <c r="P10" s="22"/>
      <c r="Q10" s="394">
        <f ca="1">H10</f>
        <v>74</v>
      </c>
      <c r="R10" s="453"/>
    </row>
    <row r="11" spans="1:18" ht="22.8">
      <c r="C11" s="349" t="str" cm="1">
        <f t="array" aca="1" ref="C11" ca="1">INDIRECT("'Worksheet'!$J"&amp;$B1)</f>
        <v>dead</v>
      </c>
      <c r="D11" s="450" t="str" cm="1">
        <f t="array" aca="1" ref="D11" ca="1">IF(INDIRECT("'Worksheet'!$D"&amp;$B1)=1, "Left of Pair", IF(INDIRECT("'Worksheet'!$E"&amp;$B1)=1, "Panel"))</f>
        <v>Panel</v>
      </c>
      <c r="E11" s="450"/>
      <c r="F11" s="450"/>
      <c r="G11" s="375"/>
      <c r="H11" s="375" t="str" cm="1">
        <f t="array" aca="1" ref="H11" ca="1">IF(INDIRECT("'Worksheet'!$F"&amp;$B1)="st","SOR T&amp;B"," ")</f>
        <v xml:space="preserve"> </v>
      </c>
      <c r="I11" s="376"/>
      <c r="L11" s="41" t="str">
        <f ca="1">$C11</f>
        <v>dead</v>
      </c>
      <c r="M11" s="450" t="str" cm="1">
        <f t="array" aca="1" ref="M11" ca="1">IF(INDIRECT("'Worksheet'!$D"&amp;$B1)=1, "Right of Pair", IF(INDIRECT("'Worksheet'!$E"&amp;$B1)=1, "Do Not Use"))</f>
        <v>Do Not Use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Zuni Annex  WO#J5104785-00267 </v>
      </c>
      <c r="E15" s="22"/>
      <c r="F15" s="23"/>
      <c r="G15" s="22"/>
      <c r="H15" s="24"/>
      <c r="I15" s="25">
        <f>+Worksheet!$AR$1</f>
        <v>32990</v>
      </c>
      <c r="J15" s="26"/>
      <c r="L15" s="165" t="s">
        <v>113</v>
      </c>
      <c r="M15" s="21" t="str">
        <f>+Worksheet!$W$4</f>
        <v xml:space="preserve">Zuni Annex  WO#J5104785-00267 </v>
      </c>
      <c r="N15" s="22"/>
      <c r="O15" s="23"/>
      <c r="P15" s="22"/>
      <c r="Q15" s="24"/>
      <c r="R15" s="25">
        <f>+Worksheet!$AR$1</f>
        <v>32990</v>
      </c>
    </row>
    <row r="16" spans="1:18" ht="33" customHeight="1">
      <c r="C16" s="166" t="s">
        <v>128</v>
      </c>
      <c r="D16" s="151" cm="1">
        <f t="array" aca="1" ref="D16" ca="1">INDIRECT("'Worksheet'!$K"&amp;$B15)</f>
        <v>30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57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30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57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91.25</v>
      </c>
      <c r="E17" s="19" t="s">
        <v>122</v>
      </c>
      <c r="F17" s="370">
        <f ca="1">H16+15</f>
        <v>72</v>
      </c>
      <c r="G17" s="444" cm="1">
        <f t="array" aca="1" ref="G17" ca="1">INDIRECT("'Worksheet'!$Y"&amp;$B15)</f>
        <v>0</v>
      </c>
      <c r="H17" s="444"/>
      <c r="I17" s="445"/>
      <c r="L17" s="165" t="s">
        <v>121</v>
      </c>
      <c r="M17">
        <f t="shared" ca="1" si="1"/>
        <v>91.25</v>
      </c>
      <c r="N17" s="19" t="s">
        <v>122</v>
      </c>
      <c r="O17" s="370">
        <f ca="1">F17</f>
        <v>72</v>
      </c>
      <c r="P17" s="446">
        <f ca="1">G17</f>
        <v>0</v>
      </c>
      <c r="Q17" s="446"/>
      <c r="R17" s="447"/>
    </row>
    <row r="18" spans="1:18" ht="16.2" customHeight="1">
      <c r="C18" s="167"/>
      <c r="D18" s="162" cm="1">
        <f t="array" aca="1" ref="D18" ca="1">IF($D25="Left of Pair",INDIRECT("'Worksheet'!$Q"&amp;$B15)/2,IF($D25="Panel",INDIRECT("'Worksheet'!$Q"&amp;$B15)))</f>
        <v>1.25</v>
      </c>
      <c r="E18" s="42" t="s">
        <v>41</v>
      </c>
      <c r="F18" s="371"/>
      <c r="G18" s="444"/>
      <c r="H18" s="444"/>
      <c r="I18" s="445"/>
      <c r="L18" s="167"/>
      <c r="M18" s="162">
        <f t="shared" ca="1" si="1"/>
        <v>1.25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>
        <f ca="1">+IF(D23="yes",IF($D25="Left of Pair",($D20*$H23),IF($D25="Panel",$D20*$H23,IF($H25="SOR",$D20*$H23," ")))," ")</f>
        <v>96</v>
      </c>
      <c r="E19" s="19" t="s">
        <v>122</v>
      </c>
      <c r="F19" s="370">
        <f ca="1">IF(D23="YES",H16+12," ")</f>
        <v>69</v>
      </c>
      <c r="H19" s="344" t="s">
        <v>10</v>
      </c>
      <c r="I19" s="372" cm="1">
        <f t="array" aca="1" ref="I19" ca="1">INDIRECT("'Worksheet'!$Q"&amp;B15)</f>
        <v>1.25</v>
      </c>
      <c r="L19" s="165" t="s">
        <v>135</v>
      </c>
      <c r="M19">
        <f t="shared" ca="1" si="1"/>
        <v>96</v>
      </c>
      <c r="N19" s="19" t="s">
        <v>122</v>
      </c>
      <c r="O19" s="370">
        <f ca="1">F19</f>
        <v>69</v>
      </c>
      <c r="P19" s="19"/>
      <c r="Q19" s="344" t="s">
        <v>10</v>
      </c>
      <c r="R19" s="161">
        <f ca="1">I19</f>
        <v>1.25</v>
      </c>
    </row>
    <row r="20" spans="1:18" ht="15.6">
      <c r="C20" s="168"/>
      <c r="D20" s="162" cm="1">
        <f t="array" aca="1" ref="D20" ca="1">IF(D23="yes",IF($D25="Left of Pair",INDIRECT("'Worksheet'!$S"&amp;$B15)/2,IF($D25="Panel",INDIRECT("'Worksheet'!$S"&amp;$B15)))," ")</f>
        <v>1.5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36.5</v>
      </c>
      <c r="L20" s="168"/>
      <c r="M20" s="345">
        <f t="shared" ca="1" si="1"/>
        <v>1.5</v>
      </c>
      <c r="N20" s="346" t="s">
        <v>41</v>
      </c>
      <c r="O20" s="373"/>
      <c r="P20" s="20"/>
      <c r="Q20" s="344" t="s">
        <v>116</v>
      </c>
      <c r="R20" s="32">
        <f ca="1">I20</f>
        <v>36.5</v>
      </c>
    </row>
    <row r="21" spans="1:18" ht="12.75" customHeight="1">
      <c r="C21" s="169" t="s">
        <v>114</v>
      </c>
      <c r="D21" s="374" t="str" cm="1">
        <f t="array" aca="1" ref="D21" ca="1">INDIRECT("'Worksheet'!$B"&amp;$B15)</f>
        <v>Living Room</v>
      </c>
      <c r="E21" s="22"/>
      <c r="F21" s="23"/>
      <c r="G21" s="22"/>
      <c r="H21" s="24"/>
      <c r="I21" s="451" t="str" cm="1">
        <f t="array" aca="1" ref="I21" ca="1">INDIRECT("'Worksheet'!$A"&amp;$B15)</f>
        <v>P1-2</v>
      </c>
      <c r="L21" s="169" t="s">
        <v>114</v>
      </c>
      <c r="M21" s="31" t="str">
        <f t="shared" ca="1" si="1"/>
        <v>Living Room</v>
      </c>
      <c r="N21" s="20"/>
      <c r="O21" s="33"/>
      <c r="P21" s="27"/>
      <c r="Q21" s="24"/>
      <c r="R21" s="451" t="str">
        <f ca="1">I21</f>
        <v>P1-2</v>
      </c>
    </row>
    <row r="22" spans="1:18" ht="15.75" customHeight="1">
      <c r="C22" s="165" t="s">
        <v>117</v>
      </c>
      <c r="D22" s="347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52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>YES</v>
      </c>
      <c r="E23" s="348" t="str" cm="1">
        <f t="array" aca="1" ref="E23" ca="1">INDIRECT("'Worksheet'!$X"&amp;$B15)</f>
        <v xml:space="preserve">Flameguard </v>
      </c>
      <c r="F23" s="39"/>
      <c r="G23" s="20"/>
      <c r="H23" s="393" cm="1">
        <f t="array" aca="1" ref="H23" ca="1">INDIRECT("'Worksheet'!$R"&amp;$B15)</f>
        <v>64</v>
      </c>
      <c r="I23" s="452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4">
        <f ca="1">H23</f>
        <v>64</v>
      </c>
      <c r="R23" s="452"/>
    </row>
    <row r="24" spans="1:18" ht="15.75" customHeight="1">
      <c r="C24" s="165" t="s">
        <v>13</v>
      </c>
      <c r="D24" s="348" t="str" cm="1">
        <f t="array" aca="1" ref="D24" ca="1">INDIRECT("'Worksheet'!$W"&amp;$B15)</f>
        <v>5th Avenue 72</v>
      </c>
      <c r="E24" s="22"/>
      <c r="F24" s="23"/>
      <c r="G24" s="22"/>
      <c r="H24" s="393" cm="1">
        <f t="array" aca="1" ref="H24" ca="1">INDIRECT("'Worksheet'!$P"&amp;$B15)</f>
        <v>74</v>
      </c>
      <c r="I24" s="453"/>
      <c r="L24" s="165" t="s">
        <v>13</v>
      </c>
      <c r="M24" s="21" t="str">
        <f t="shared" ca="1" si="1"/>
        <v>5th Avenue 72</v>
      </c>
      <c r="N24" s="22"/>
      <c r="O24" s="23"/>
      <c r="P24" s="22"/>
      <c r="Q24" s="394">
        <f ca="1">H24</f>
        <v>74</v>
      </c>
      <c r="R24" s="453"/>
    </row>
    <row r="25" spans="1:18" ht="22.8">
      <c r="C25" s="349" t="str" cm="1">
        <f t="array" aca="1" ref="C25" ca="1">INDIRECT("'Worksheet'!$J"&amp;$B15)</f>
        <v>dead</v>
      </c>
      <c r="D25" s="450" t="str" cm="1">
        <f t="array" aca="1" ref="D25" ca="1">IF(INDIRECT("'Worksheet'!$D"&amp;$B15)=1, "Left of Pair", IF(INDIRECT("'Worksheet'!$E"&amp;$B15)=1, "Panel"))</f>
        <v>Panel</v>
      </c>
      <c r="E25" s="450"/>
      <c r="F25" s="450"/>
      <c r="G25" s="375"/>
      <c r="H25" s="375" t="str" cm="1">
        <f t="array" aca="1" ref="H25" ca="1">IF(INDIRECT("'Worksheet'!$F"&amp;$B15)="st","SOR T&amp;B"," ")</f>
        <v xml:space="preserve"> </v>
      </c>
      <c r="I25" s="376"/>
      <c r="L25" s="41" t="str">
        <f ca="1">$C25</f>
        <v>dead</v>
      </c>
      <c r="M25" s="450" t="str" cm="1">
        <f t="array" aca="1" ref="M25" ca="1">IF(INDIRECT("'Worksheet'!$D"&amp;$B15)=1, "Right of Pair", IF(INDIRECT("'Worksheet'!$E"&amp;$B15)=1, "Do Not Use"))</f>
        <v>Do Not Use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+Worksheet!$W$4</f>
        <v xml:space="preserve">Zuni Annex  WO#J5104785-00267 </v>
      </c>
      <c r="E29" s="22"/>
      <c r="F29" s="23"/>
      <c r="G29" s="22"/>
      <c r="H29" s="24"/>
      <c r="I29" s="25">
        <f>+Worksheet!$AR$1</f>
        <v>32990</v>
      </c>
      <c r="J29" s="26"/>
      <c r="L29" s="165" t="s">
        <v>113</v>
      </c>
      <c r="M29" s="21" t="str">
        <f>+Worksheet!$W$4</f>
        <v xml:space="preserve">Zuni Annex  WO#J5104785-00267 </v>
      </c>
      <c r="N29" s="22"/>
      <c r="O29" s="23"/>
      <c r="P29" s="22"/>
      <c r="Q29" s="24"/>
      <c r="R29" s="25">
        <f>+Worksheet!$AR$1</f>
        <v>32990</v>
      </c>
    </row>
    <row r="30" spans="1:18" ht="33" customHeight="1">
      <c r="C30" s="166" t="s">
        <v>128</v>
      </c>
      <c r="D30" s="151" cm="1">
        <f t="array" aca="1" ref="D30" ca="1">INDIRECT("'Worksheet'!$K"&amp;$B29)</f>
        <v>45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57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45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57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128.75</v>
      </c>
      <c r="E31" s="19" t="s">
        <v>122</v>
      </c>
      <c r="F31" s="370">
        <f ca="1">H30+15</f>
        <v>72</v>
      </c>
      <c r="G31" s="444" cm="1">
        <f t="array" aca="1" ref="G31" ca="1">INDIRECT("'Worksheet'!$Y"&amp;$B29)</f>
        <v>0</v>
      </c>
      <c r="H31" s="444"/>
      <c r="I31" s="445"/>
      <c r="L31" s="165" t="s">
        <v>121</v>
      </c>
      <c r="M31">
        <f t="shared" ca="1" si="2"/>
        <v>128.75</v>
      </c>
      <c r="N31" s="19" t="s">
        <v>122</v>
      </c>
      <c r="O31" s="370">
        <f ca="1">F31</f>
        <v>72</v>
      </c>
      <c r="P31" s="446">
        <f ca="1">G31</f>
        <v>0</v>
      </c>
      <c r="Q31" s="446"/>
      <c r="R31" s="447"/>
    </row>
    <row r="32" spans="1:18" ht="16.95" customHeight="1">
      <c r="C32" s="167"/>
      <c r="D32" s="162" cm="1">
        <f t="array" aca="1" ref="D32" ca="1">IF($D39="Left of Pair",INDIRECT("'Worksheet'!$Q"&amp;$B29)/2,IF($D39="Panel",INDIRECT("'Worksheet'!$Q"&amp;$B29)))</f>
        <v>1.75</v>
      </c>
      <c r="E32" s="42" t="s">
        <v>41</v>
      </c>
      <c r="F32" s="371"/>
      <c r="G32" s="444"/>
      <c r="H32" s="444"/>
      <c r="I32" s="445"/>
      <c r="L32" s="167"/>
      <c r="M32" s="162">
        <f t="shared" ca="1" si="2"/>
        <v>1.75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>
        <f ca="1">+IF(D37="yes",IF($D39="Left of Pair",($D34*$H37),IF($D39="Panel",$D34*$H37,IF($H39="SOR",$D34*$H37," ")))," ")</f>
        <v>134.4</v>
      </c>
      <c r="E33" s="19" t="s">
        <v>122</v>
      </c>
      <c r="F33" s="370">
        <f ca="1">IF(D37="YES",H30+12," ")</f>
        <v>69</v>
      </c>
      <c r="H33" s="344" t="s">
        <v>10</v>
      </c>
      <c r="I33" s="372" cm="1">
        <f t="array" aca="1" ref="I33" ca="1">INDIRECT("'Worksheet'!$Q"&amp;B29)</f>
        <v>1.75</v>
      </c>
      <c r="L33" s="165" t="s">
        <v>135</v>
      </c>
      <c r="M33">
        <f t="shared" ca="1" si="2"/>
        <v>134.4</v>
      </c>
      <c r="N33" s="19" t="s">
        <v>122</v>
      </c>
      <c r="O33" s="370">
        <f ca="1">F33</f>
        <v>69</v>
      </c>
      <c r="P33" s="19"/>
      <c r="Q33" s="344" t="s">
        <v>10</v>
      </c>
      <c r="R33" s="161">
        <f ca="1">I33</f>
        <v>1.75</v>
      </c>
    </row>
    <row r="34" spans="1:18" ht="15.6">
      <c r="C34" s="168"/>
      <c r="D34" s="162" cm="1">
        <f t="array" aca="1" ref="D34" ca="1">IF(D37="yes",IF($D39="Left of Pair",INDIRECT("'Worksheet'!$S"&amp;$B29)/2,IF($D39="Panel",INDIRECT("'Worksheet'!$S"&amp;$B29)))," ")</f>
        <v>2.1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51.5</v>
      </c>
      <c r="L34" s="168"/>
      <c r="M34" s="345">
        <f t="shared" ca="1" si="2"/>
        <v>2.1</v>
      </c>
      <c r="N34" s="346" t="s">
        <v>41</v>
      </c>
      <c r="O34" s="373"/>
      <c r="P34" s="20"/>
      <c r="Q34" s="344" t="s">
        <v>116</v>
      </c>
      <c r="R34" s="32">
        <f ca="1">I34</f>
        <v>51.5</v>
      </c>
    </row>
    <row r="35" spans="1:18" ht="12.75" customHeight="1">
      <c r="C35" s="169" t="s">
        <v>114</v>
      </c>
      <c r="D35" s="374" t="str" cm="1">
        <f t="array" aca="1" ref="D35" ca="1">INDIRECT("'Worksheet'!$B"&amp;$B29)</f>
        <v>Kitchen</v>
      </c>
      <c r="E35" s="22"/>
      <c r="F35" s="23"/>
      <c r="G35" s="22"/>
      <c r="H35" s="24"/>
      <c r="I35" s="451" t="str" cm="1">
        <f t="array" aca="1" ref="I35" ca="1">INDIRECT("'Worksheet'!$A"&amp;$B29)</f>
        <v>P1-3</v>
      </c>
      <c r="L35" s="169" t="s">
        <v>114</v>
      </c>
      <c r="M35" s="31" t="str">
        <f t="shared" ca="1" si="2"/>
        <v>Kitchen</v>
      </c>
      <c r="N35" s="20"/>
      <c r="O35" s="33"/>
      <c r="P35" s="27"/>
      <c r="Q35" s="24"/>
      <c r="R35" s="451" t="str">
        <f ca="1">I35</f>
        <v>P1-3</v>
      </c>
    </row>
    <row r="36" spans="1:18" ht="15.75" customHeight="1">
      <c r="C36" s="165" t="s">
        <v>117</v>
      </c>
      <c r="D36" s="347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52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>YES</v>
      </c>
      <c r="E37" s="348" t="str" cm="1">
        <f t="array" aca="1" ref="E37" ca="1">INDIRECT("'Worksheet'!$X"&amp;$B29)</f>
        <v xml:space="preserve">Flameguard </v>
      </c>
      <c r="F37" s="39"/>
      <c r="G37" s="20"/>
      <c r="H37" s="393" cm="1">
        <f t="array" aca="1" ref="H37" ca="1">INDIRECT("'Worksheet'!$R"&amp;$B29)</f>
        <v>64</v>
      </c>
      <c r="I37" s="452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4">
        <f ca="1">H37</f>
        <v>64</v>
      </c>
      <c r="R37" s="452"/>
    </row>
    <row r="38" spans="1:18" ht="15.75" customHeight="1">
      <c r="C38" s="165" t="s">
        <v>13</v>
      </c>
      <c r="D38" s="348" t="str" cm="1">
        <f t="array" aca="1" ref="D38" ca="1">INDIRECT("'Worksheet'!$W"&amp;$B29)</f>
        <v>5th Avenue 72</v>
      </c>
      <c r="E38" s="22"/>
      <c r="F38" s="23"/>
      <c r="G38" s="22"/>
      <c r="H38" s="393" cm="1">
        <f t="array" aca="1" ref="H38" ca="1">INDIRECT("'Worksheet'!$P"&amp;$B29)</f>
        <v>74</v>
      </c>
      <c r="I38" s="453"/>
      <c r="L38" s="165" t="s">
        <v>13</v>
      </c>
      <c r="M38" s="21" t="str">
        <f t="shared" ca="1" si="2"/>
        <v>5th Avenue 72</v>
      </c>
      <c r="N38" s="22"/>
      <c r="O38" s="23"/>
      <c r="P38" s="22"/>
      <c r="Q38" s="394">
        <f ca="1">H38</f>
        <v>74</v>
      </c>
      <c r="R38" s="453"/>
    </row>
    <row r="39" spans="1:18" ht="20.25" customHeight="1">
      <c r="C39" s="349" t="str" cm="1">
        <f t="array" aca="1" ref="C39" ca="1">INDIRECT("'Worksheet'!$J"&amp;$B29)</f>
        <v>dead</v>
      </c>
      <c r="D39" s="450" t="str" cm="1">
        <f t="array" aca="1" ref="D39" ca="1">IF(INDIRECT("'Worksheet'!$D"&amp;$B29)=1, "Left of Pair", IF(INDIRECT("'Worksheet'!$E"&amp;$B29)=1, "Panel"))</f>
        <v>Panel</v>
      </c>
      <c r="E39" s="450"/>
      <c r="F39" s="450"/>
      <c r="G39" s="375"/>
      <c r="H39" s="375" t="str" cm="1">
        <f t="array" aca="1" ref="H39" ca="1">IF(INDIRECT("'Worksheet'!$F"&amp;$B29)="st","SOR T&amp;B"," ")</f>
        <v xml:space="preserve"> </v>
      </c>
      <c r="I39" s="376"/>
      <c r="L39" s="41" t="str">
        <f ca="1">$C39</f>
        <v>dead</v>
      </c>
      <c r="M39" s="450" t="str" cm="1">
        <f t="array" aca="1" ref="M39" ca="1">IF(INDIRECT("'Worksheet'!$D"&amp;$B29)=1, "Right of Pair", IF(INDIRECT("'Worksheet'!$E"&amp;$B29)=1, "Do Not Use"))</f>
        <v>Do Not Use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+Worksheet!$W$4</f>
        <v xml:space="preserve">Zuni Annex  WO#J5104785-00267 </v>
      </c>
      <c r="E43" s="22"/>
      <c r="F43" s="23"/>
      <c r="G43" s="22"/>
      <c r="H43" s="24"/>
      <c r="I43" s="25">
        <f>+Worksheet!$AR$1</f>
        <v>32990</v>
      </c>
      <c r="J43" s="26"/>
      <c r="L43" s="165" t="s">
        <v>113</v>
      </c>
      <c r="M43" s="21" t="str">
        <f>+Worksheet!$W$4</f>
        <v xml:space="preserve">Zuni Annex  WO#J5104785-00267 </v>
      </c>
      <c r="N43" s="22"/>
      <c r="O43" s="23"/>
      <c r="P43" s="22"/>
      <c r="Q43" s="24"/>
      <c r="R43" s="25">
        <f>+Worksheet!$AR$1</f>
        <v>32990</v>
      </c>
    </row>
    <row r="44" spans="1:18" ht="31.8">
      <c r="C44" s="166" t="s">
        <v>128</v>
      </c>
      <c r="D44" s="151" cm="1">
        <f t="array" aca="1" ref="D44" ca="1">INDIRECT("'Worksheet'!$K"&amp;$B43)</f>
        <v>30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57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30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57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91.25</v>
      </c>
      <c r="E45" s="19" t="s">
        <v>122</v>
      </c>
      <c r="F45" s="370">
        <f ca="1">H44+15</f>
        <v>72</v>
      </c>
      <c r="G45" s="444" cm="1">
        <f t="array" aca="1" ref="G45" ca="1">INDIRECT("'Worksheet'!$Y"&amp;$B43)</f>
        <v>0</v>
      </c>
      <c r="H45" s="444"/>
      <c r="I45" s="445"/>
      <c r="L45" s="165" t="s">
        <v>121</v>
      </c>
      <c r="M45">
        <f t="shared" ca="1" si="3"/>
        <v>91.25</v>
      </c>
      <c r="N45" s="19" t="s">
        <v>122</v>
      </c>
      <c r="O45" s="370">
        <f ca="1">F45</f>
        <v>72</v>
      </c>
      <c r="P45" s="446">
        <f ca="1">G45</f>
        <v>0</v>
      </c>
      <c r="Q45" s="446"/>
      <c r="R45" s="447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1.25</v>
      </c>
      <c r="E46" s="42" t="s">
        <v>41</v>
      </c>
      <c r="F46" s="371"/>
      <c r="G46" s="444"/>
      <c r="H46" s="444"/>
      <c r="I46" s="445"/>
      <c r="L46" s="167"/>
      <c r="M46" s="162">
        <f t="shared" ca="1" si="3"/>
        <v>1.25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>
        <f ca="1">+IF(D51="yes",IF($D53="Left of Pair",($D48*$H51),IF($D53="Panel",$D48*$H51,IF($H53="SOR",$D48*$H51," ")))," ")</f>
        <v>90</v>
      </c>
      <c r="E47" s="19" t="s">
        <v>122</v>
      </c>
      <c r="F47" s="370">
        <f ca="1">IF(D51="YES",H44+12," ")</f>
        <v>69</v>
      </c>
      <c r="H47" s="344" t="s">
        <v>10</v>
      </c>
      <c r="I47" s="372" cm="1">
        <f t="array" aca="1" ref="I47" ca="1">INDIRECT("'Worksheet'!$Q"&amp;B43)</f>
        <v>1.25</v>
      </c>
      <c r="L47" s="165" t="s">
        <v>135</v>
      </c>
      <c r="M47">
        <f t="shared" ca="1" si="3"/>
        <v>90</v>
      </c>
      <c r="N47" s="19" t="s">
        <v>122</v>
      </c>
      <c r="O47" s="370">
        <f ca="1">F47</f>
        <v>69</v>
      </c>
      <c r="P47" s="19"/>
      <c r="Q47" s="344" t="s">
        <v>10</v>
      </c>
      <c r="R47" s="161">
        <f ca="1">I47</f>
        <v>1.25</v>
      </c>
    </row>
    <row r="48" spans="1:18" ht="15.6">
      <c r="C48" s="168"/>
      <c r="D48" s="162" cm="1">
        <f t="array" aca="1" ref="D48" ca="1">IF(D51="yes",IF($D53="Left of Pair",INDIRECT("'Worksheet'!$S"&amp;$B43)/2,IF($D53="Panel",INDIRECT("'Worksheet'!$S"&amp;$B43)))," ")</f>
        <v>1.5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36.5</v>
      </c>
      <c r="L48" s="168"/>
      <c r="M48" s="345">
        <f t="shared" ca="1" si="3"/>
        <v>1.5</v>
      </c>
      <c r="N48" s="346" t="s">
        <v>41</v>
      </c>
      <c r="O48" s="373"/>
      <c r="P48" s="20"/>
      <c r="Q48" s="344" t="s">
        <v>116</v>
      </c>
      <c r="R48" s="32">
        <f ca="1">I48</f>
        <v>36.5</v>
      </c>
    </row>
    <row r="49" spans="1:18" ht="12.75" customHeight="1">
      <c r="C49" s="169" t="s">
        <v>114</v>
      </c>
      <c r="D49" s="374" t="str" cm="1">
        <f t="array" aca="1" ref="D49" ca="1">INDIRECT("'Worksheet'!$B"&amp;$B43)</f>
        <v>Bedroom</v>
      </c>
      <c r="E49" s="22"/>
      <c r="F49" s="23"/>
      <c r="G49" s="22"/>
      <c r="H49" s="24"/>
      <c r="I49" s="451" t="str" cm="1">
        <f t="array" aca="1" ref="I49" ca="1">INDIRECT("'Worksheet'!$A"&amp;$B43)</f>
        <v>P1-4</v>
      </c>
      <c r="L49" s="169" t="s">
        <v>114</v>
      </c>
      <c r="M49" s="31" t="str">
        <f t="shared" ca="1" si="3"/>
        <v>Bedroom</v>
      </c>
      <c r="N49" s="20"/>
      <c r="O49" s="33"/>
      <c r="P49" s="27"/>
      <c r="Q49" s="24"/>
      <c r="R49" s="451" t="str">
        <f ca="1">I49</f>
        <v>P1-4</v>
      </c>
    </row>
    <row r="50" spans="1:18" ht="15.75" customHeight="1">
      <c r="C50" s="165" t="s">
        <v>117</v>
      </c>
      <c r="D50" s="347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52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>YES</v>
      </c>
      <c r="E51" s="348" t="str" cm="1">
        <f t="array" aca="1" ref="E51" ca="1">INDIRECT("'Worksheet'!$X"&amp;$B43)</f>
        <v xml:space="preserve">Liteless </v>
      </c>
      <c r="F51" s="39"/>
      <c r="G51" s="20"/>
      <c r="H51" s="393" cm="1">
        <f t="array" aca="1" ref="H51" ca="1">INDIRECT("'Worksheet'!$R"&amp;$B43)</f>
        <v>60</v>
      </c>
      <c r="I51" s="452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Liteless </v>
      </c>
      <c r="O51" s="39"/>
      <c r="P51" s="20"/>
      <c r="Q51" s="394">
        <f ca="1">H51</f>
        <v>60</v>
      </c>
      <c r="R51" s="452"/>
    </row>
    <row r="52" spans="1:18" ht="15.75" customHeight="1">
      <c r="C52" s="165" t="s">
        <v>13</v>
      </c>
      <c r="D52" s="348" t="str" cm="1">
        <f t="array" aca="1" ref="D52" ca="1">INDIRECT("'Worksheet'!$W"&amp;$B43)</f>
        <v>5th Avenue 72</v>
      </c>
      <c r="E52" s="22"/>
      <c r="F52" s="23"/>
      <c r="G52" s="22"/>
      <c r="H52" s="393" cm="1">
        <f t="array" aca="1" ref="H52" ca="1">INDIRECT("'Worksheet'!$P"&amp;$B43)</f>
        <v>74</v>
      </c>
      <c r="I52" s="453"/>
      <c r="L52" s="165" t="s">
        <v>13</v>
      </c>
      <c r="M52" s="21" t="str">
        <f t="shared" ca="1" si="3"/>
        <v>5th Avenue 72</v>
      </c>
      <c r="N52" s="22"/>
      <c r="O52" s="23"/>
      <c r="P52" s="22"/>
      <c r="Q52" s="394">
        <f ca="1">H52</f>
        <v>74</v>
      </c>
      <c r="R52" s="453"/>
    </row>
    <row r="53" spans="1:18" ht="22.8">
      <c r="C53" s="349" t="str" cm="1">
        <f t="array" aca="1" ref="C53" ca="1">INDIRECT("'Worksheet'!$J"&amp;$B43)</f>
        <v>dead</v>
      </c>
      <c r="D53" s="450" t="str" cm="1">
        <f t="array" aca="1" ref="D53" ca="1">IF(INDIRECT("'Worksheet'!$D"&amp;$B43)=1, "Left of Pair", IF(INDIRECT("'Worksheet'!$E"&amp;$B43)=1, "Panel"))</f>
        <v>Panel</v>
      </c>
      <c r="E53" s="450"/>
      <c r="F53" s="450"/>
      <c r="G53" s="375"/>
      <c r="H53" s="375" t="str" cm="1">
        <f t="array" aca="1" ref="H53" ca="1">IF(INDIRECT("'Worksheet'!$F"&amp;$B43)="st","SOR T&amp;B"," ")</f>
        <v xml:space="preserve"> </v>
      </c>
      <c r="I53" s="376"/>
      <c r="L53" s="41" t="str">
        <f ca="1">$C53</f>
        <v>dead</v>
      </c>
      <c r="M53" s="450" t="str" cm="1">
        <f t="array" aca="1" ref="M53" ca="1">IF(INDIRECT("'Worksheet'!$D"&amp;$B43)=1, "Right of Pair", IF(INDIRECT("'Worksheet'!$E"&amp;$B43)=1, "Do Not Use"))</f>
        <v>Do Not Use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+Worksheet!$W$4</f>
        <v xml:space="preserve">Zuni Annex  WO#J5104785-00267 </v>
      </c>
      <c r="E55" s="22"/>
      <c r="F55" s="23"/>
      <c r="G55" s="22"/>
      <c r="H55" s="24"/>
      <c r="I55" s="25">
        <f>+Worksheet!$AR$1</f>
        <v>32990</v>
      </c>
      <c r="J55" s="26"/>
      <c r="L55" s="165" t="s">
        <v>113</v>
      </c>
      <c r="M55" s="21" t="str">
        <f>+Worksheet!$W$4</f>
        <v xml:space="preserve">Zuni Annex  WO#J5104785-00267 </v>
      </c>
      <c r="N55" s="22"/>
      <c r="O55" s="23"/>
      <c r="P55" s="22"/>
      <c r="Q55" s="24"/>
      <c r="R55" s="25">
        <f>+Worksheet!$AR$1</f>
        <v>32990</v>
      </c>
    </row>
    <row r="56" spans="1:18" ht="31.8">
      <c r="C56" s="166" t="s">
        <v>128</v>
      </c>
      <c r="D56" s="151" cm="1">
        <f t="array" aca="1" ref="D56" ca="1">INDIRECT("'Worksheet'!$K"&amp;$B55)</f>
        <v>30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57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30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57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91.25</v>
      </c>
      <c r="E57" s="19" t="s">
        <v>122</v>
      </c>
      <c r="F57" s="370">
        <f ca="1">H56+15</f>
        <v>72</v>
      </c>
      <c r="G57" s="444" cm="1">
        <f t="array" aca="1" ref="G57" ca="1">INDIRECT("'Worksheet'!$Y"&amp;$B55)</f>
        <v>0</v>
      </c>
      <c r="H57" s="444"/>
      <c r="I57" s="445"/>
      <c r="L57" s="165" t="s">
        <v>121</v>
      </c>
      <c r="M57">
        <f t="shared" ca="1" si="4"/>
        <v>91.25</v>
      </c>
      <c r="N57" s="19" t="s">
        <v>122</v>
      </c>
      <c r="O57" s="370">
        <f ca="1">F57</f>
        <v>72</v>
      </c>
      <c r="P57" s="446">
        <f ca="1">G57</f>
        <v>0</v>
      </c>
      <c r="Q57" s="446"/>
      <c r="R57" s="447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1.25</v>
      </c>
      <c r="E58" s="42" t="s">
        <v>41</v>
      </c>
      <c r="F58" s="371"/>
      <c r="G58" s="444"/>
      <c r="H58" s="444"/>
      <c r="I58" s="445"/>
      <c r="L58" s="167"/>
      <c r="M58" s="162">
        <f t="shared" ca="1" si="4"/>
        <v>1.25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>
        <f ca="1">+IF(D63="yes",IF($D65="Left of Pair",($D60*$H63),IF($D65="Panel",$D60*$H63,IF($H65="SOR",$D60*$H63," ")))," ")</f>
        <v>90</v>
      </c>
      <c r="E59" s="19" t="s">
        <v>122</v>
      </c>
      <c r="F59" s="370">
        <f ca="1">IF(D63="YES",H56+12," ")</f>
        <v>69</v>
      </c>
      <c r="H59" s="344" t="s">
        <v>10</v>
      </c>
      <c r="I59" s="372" cm="1">
        <f t="array" aca="1" ref="I59" ca="1">INDIRECT("'Worksheet'!$Q"&amp;B55)</f>
        <v>1.25</v>
      </c>
      <c r="L59" s="165" t="s">
        <v>135</v>
      </c>
      <c r="M59">
        <f t="shared" ca="1" si="4"/>
        <v>90</v>
      </c>
      <c r="N59" s="19" t="s">
        <v>122</v>
      </c>
      <c r="O59" s="370">
        <f ca="1">F59</f>
        <v>69</v>
      </c>
      <c r="P59" s="19"/>
      <c r="Q59" s="344" t="s">
        <v>10</v>
      </c>
      <c r="R59" s="161">
        <f ca="1">I59</f>
        <v>1.25</v>
      </c>
    </row>
    <row r="60" spans="1:18" ht="15.6">
      <c r="C60" s="168"/>
      <c r="D60" s="162" cm="1">
        <f t="array" aca="1" ref="D60" ca="1">IF(D63="yes",IF($D65="Left of Pair",INDIRECT("'Worksheet'!$S"&amp;$B55)/2,IF($D65="Panel",INDIRECT("'Worksheet'!$S"&amp;$B55)))," ")</f>
        <v>1.5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36.5</v>
      </c>
      <c r="L60" s="168"/>
      <c r="M60" s="345">
        <f t="shared" ca="1" si="4"/>
        <v>1.5</v>
      </c>
      <c r="N60" s="346" t="s">
        <v>41</v>
      </c>
      <c r="O60" s="373"/>
      <c r="P60" s="20"/>
      <c r="Q60" s="344" t="s">
        <v>116</v>
      </c>
      <c r="R60" s="32">
        <f ca="1">I60</f>
        <v>36.5</v>
      </c>
    </row>
    <row r="61" spans="1:18" ht="12.75" customHeight="1">
      <c r="C61" s="169" t="s">
        <v>114</v>
      </c>
      <c r="D61" s="374" t="str" cm="1">
        <f t="array" aca="1" ref="D61" ca="1">INDIRECT("'Worksheet'!$B"&amp;$B55)</f>
        <v>Bedroom</v>
      </c>
      <c r="E61" s="22"/>
      <c r="F61" s="23"/>
      <c r="G61" s="22"/>
      <c r="H61" s="24"/>
      <c r="I61" s="451" t="str" cm="1">
        <f t="array" aca="1" ref="I61" ca="1">INDIRECT("'Worksheet'!$A"&amp;$B55)</f>
        <v>P1-5</v>
      </c>
      <c r="L61" s="169" t="s">
        <v>114</v>
      </c>
      <c r="M61" s="31" t="str">
        <f t="shared" ca="1" si="4"/>
        <v>Bedroom</v>
      </c>
      <c r="N61" s="20"/>
      <c r="O61" s="33"/>
      <c r="P61" s="27"/>
      <c r="Q61" s="24"/>
      <c r="R61" s="451" t="str">
        <f ca="1">I61</f>
        <v>P1-5</v>
      </c>
    </row>
    <row r="62" spans="1:18" ht="15.75" customHeight="1">
      <c r="C62" s="165" t="s">
        <v>117</v>
      </c>
      <c r="D62" s="347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52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>YES</v>
      </c>
      <c r="E63" s="348" t="str" cm="1">
        <f t="array" aca="1" ref="E63" ca="1">INDIRECT("'Worksheet'!$X"&amp;$B55)</f>
        <v xml:space="preserve">Liteless </v>
      </c>
      <c r="F63" s="39"/>
      <c r="G63" s="20"/>
      <c r="H63" s="393" cm="1">
        <f t="array" aca="1" ref="H63" ca="1">INDIRECT("'Worksheet'!$R"&amp;$B55)</f>
        <v>60</v>
      </c>
      <c r="I63" s="452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Liteless </v>
      </c>
      <c r="O63" s="39"/>
      <c r="P63" s="20"/>
      <c r="Q63" s="394">
        <f ca="1">H63</f>
        <v>60</v>
      </c>
      <c r="R63" s="452"/>
    </row>
    <row r="64" spans="1:18" ht="15.75" customHeight="1">
      <c r="C64" s="165" t="s">
        <v>13</v>
      </c>
      <c r="D64" s="348" t="str" cm="1">
        <f t="array" aca="1" ref="D64" ca="1">INDIRECT("'Worksheet'!$W"&amp;$B55)</f>
        <v>5th Avenue 72</v>
      </c>
      <c r="E64" s="22"/>
      <c r="F64" s="23"/>
      <c r="G64" s="22"/>
      <c r="H64" s="393" cm="1">
        <f t="array" aca="1" ref="H64" ca="1">INDIRECT("'Worksheet'!$P"&amp;$B55)</f>
        <v>74</v>
      </c>
      <c r="I64" s="453"/>
      <c r="L64" s="165" t="s">
        <v>13</v>
      </c>
      <c r="M64" s="21" t="str">
        <f t="shared" ca="1" si="4"/>
        <v>5th Avenue 72</v>
      </c>
      <c r="N64" s="22"/>
      <c r="O64" s="23"/>
      <c r="P64" s="22"/>
      <c r="Q64" s="394">
        <f ca="1">H64</f>
        <v>74</v>
      </c>
      <c r="R64" s="453"/>
    </row>
    <row r="65" spans="1:18" ht="22.8">
      <c r="C65" s="349" t="str" cm="1">
        <f t="array" aca="1" ref="C65" ca="1">INDIRECT("'Worksheet'!$J"&amp;$B55)</f>
        <v>dead</v>
      </c>
      <c r="D65" s="450" t="str" cm="1">
        <f t="array" aca="1" ref="D65" ca="1">IF(INDIRECT("'Worksheet'!$D"&amp;$B55)=1, "Left of Pair", IF(INDIRECT("'Worksheet'!$E"&amp;$B55)=1, "Panel"))</f>
        <v>Panel</v>
      </c>
      <c r="E65" s="450"/>
      <c r="F65" s="450"/>
      <c r="G65" s="375"/>
      <c r="H65" s="375" t="str" cm="1">
        <f t="array" aca="1" ref="H65" ca="1">IF(INDIRECT("'Worksheet'!$F"&amp;$B55)="st","SOR T&amp;B"," ")</f>
        <v xml:space="preserve"> </v>
      </c>
      <c r="I65" s="376"/>
      <c r="L65" s="41" t="str">
        <f ca="1">$C65</f>
        <v>dead</v>
      </c>
      <c r="M65" s="450" t="str" cm="1">
        <f t="array" aca="1" ref="M65" ca="1">IF(INDIRECT("'Worksheet'!$D"&amp;$B55)=1, "Right of Pair", IF(INDIRECT("'Worksheet'!$E"&amp;$B55)=1, "Do Not Use"))</f>
        <v>Do Not Use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+Worksheet!$W$4</f>
        <v xml:space="preserve">Zuni Annex  WO#J5104785-00267 </v>
      </c>
      <c r="E69" s="22"/>
      <c r="F69" s="23"/>
      <c r="G69" s="22"/>
      <c r="H69" s="24"/>
      <c r="I69" s="25">
        <f>+Worksheet!$AR$1</f>
        <v>32990</v>
      </c>
      <c r="J69" s="26"/>
      <c r="L69" s="165" t="s">
        <v>113</v>
      </c>
      <c r="M69" s="21" t="str">
        <f>+Worksheet!$W$4</f>
        <v xml:space="preserve">Zuni Annex  WO#J5104785-00267 </v>
      </c>
      <c r="N69" s="22"/>
      <c r="O69" s="23"/>
      <c r="P69" s="22"/>
      <c r="Q69" s="24"/>
      <c r="R69" s="25">
        <f>+Worksheet!$AR$1</f>
        <v>32990</v>
      </c>
    </row>
    <row r="70" spans="1:18" ht="31.8">
      <c r="C70" s="166" t="s">
        <v>128</v>
      </c>
      <c r="D70" s="151" cm="1">
        <f t="array" aca="1" ref="D70" ca="1">INDIRECT("'Worksheet'!$K"&amp;$B69)</f>
        <v>23</v>
      </c>
      <c r="E70" s="152" t="s">
        <v>115</v>
      </c>
      <c r="F70" s="151" cm="1">
        <f t="array" aca="1" ref="F70" ca="1">INDIRECT("'Worksheet'!$M"&amp;$B69)</f>
        <v>0</v>
      </c>
      <c r="G70" s="152" t="s">
        <v>122</v>
      </c>
      <c r="H70" s="151" cm="1">
        <f t="array" aca="1" ref="H70" ca="1">INDIRECT("'Worksheet'!$O"&amp;$B69)</f>
        <v>36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23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36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57.5</v>
      </c>
      <c r="E71" s="19" t="s">
        <v>122</v>
      </c>
      <c r="F71" s="370">
        <f ca="1">H70+15</f>
        <v>51</v>
      </c>
      <c r="G71" s="444" t="str" cm="1">
        <f t="array" aca="1" ref="G71" ca="1">INDIRECT("'Worksheet'!$Y"&amp;$B69)</f>
        <v>1 1/2" Top &amp; Bottom</v>
      </c>
      <c r="H71" s="444"/>
      <c r="I71" s="445"/>
      <c r="L71" s="165" t="s">
        <v>121</v>
      </c>
      <c r="M71">
        <f t="shared" ca="1" si="5"/>
        <v>57.5</v>
      </c>
      <c r="N71" s="19" t="s">
        <v>122</v>
      </c>
      <c r="O71" s="370">
        <f ca="1">F71</f>
        <v>51</v>
      </c>
      <c r="P71" s="446" t="str">
        <f ca="1">G71</f>
        <v>1 1/2" Top &amp; Bottom</v>
      </c>
      <c r="Q71" s="446"/>
      <c r="R71" s="447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0.8</v>
      </c>
      <c r="E72" s="42" t="s">
        <v>41</v>
      </c>
      <c r="F72" s="371"/>
      <c r="G72" s="444"/>
      <c r="H72" s="444"/>
      <c r="I72" s="445"/>
      <c r="L72" s="167"/>
      <c r="M72" s="162">
        <f t="shared" ca="1" si="5"/>
        <v>0.8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>
        <f ca="1">+IF(D77="yes",IF($D79="Left of Pair",($D74*$H77),IF($D79="Panel",$D74*$H77,IF($H79="SOR",$D74*$H77," ")))," ")</f>
        <v>57.6</v>
      </c>
      <c r="E73" s="19" t="s">
        <v>122</v>
      </c>
      <c r="F73" s="370">
        <f ca="1">IF(D77="YES",H70+12," ")</f>
        <v>48</v>
      </c>
      <c r="H73" s="344" t="s">
        <v>10</v>
      </c>
      <c r="I73" s="372" cm="1">
        <f t="array" aca="1" ref="I73" ca="1">INDIRECT("'Worksheet'!$Q"&amp;B69)</f>
        <v>0.8</v>
      </c>
      <c r="L73" s="165" t="s">
        <v>135</v>
      </c>
      <c r="M73">
        <f t="shared" ca="1" si="5"/>
        <v>57.6</v>
      </c>
      <c r="N73" s="19" t="s">
        <v>122</v>
      </c>
      <c r="O73" s="370">
        <f ca="1">F73</f>
        <v>48</v>
      </c>
      <c r="P73" s="19"/>
      <c r="Q73" s="344" t="s">
        <v>10</v>
      </c>
      <c r="R73" s="161">
        <f ca="1">I73</f>
        <v>0.8</v>
      </c>
    </row>
    <row r="74" spans="1:18" ht="15.6">
      <c r="C74" s="168"/>
      <c r="D74" s="162" cm="1">
        <f t="array" aca="1" ref="D74" ca="1">IF(D77="yes",IF($D79="Left of Pair",INDIRECT("'Worksheet'!$S"&amp;$B69)/2,IF($D79="Panel",INDIRECT("'Worksheet'!$S"&amp;$B69)))," ")</f>
        <v>0.9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23</v>
      </c>
      <c r="L74" s="168"/>
      <c r="M74" s="345">
        <f t="shared" ca="1" si="5"/>
        <v>0.9</v>
      </c>
      <c r="N74" s="346" t="s">
        <v>41</v>
      </c>
      <c r="O74" s="373"/>
      <c r="P74" s="20"/>
      <c r="Q74" s="344" t="s">
        <v>116</v>
      </c>
      <c r="R74" s="32">
        <f ca="1">I74</f>
        <v>23</v>
      </c>
    </row>
    <row r="75" spans="1:18" ht="12.75" customHeight="1">
      <c r="C75" s="169" t="s">
        <v>114</v>
      </c>
      <c r="D75" s="374" t="str" cm="1">
        <f t="array" aca="1" ref="D75" ca="1">INDIRECT("'Worksheet'!$B"&amp;$B69)</f>
        <v>Back Door</v>
      </c>
      <c r="E75" s="22"/>
      <c r="F75" s="23"/>
      <c r="G75" s="22"/>
      <c r="H75" s="24"/>
      <c r="I75" s="451" t="str" cm="1">
        <f t="array" aca="1" ref="I75" ca="1">INDIRECT("'Worksheet'!$A"&amp;$B69)</f>
        <v>P1-6</v>
      </c>
      <c r="L75" s="169" t="s">
        <v>114</v>
      </c>
      <c r="M75" s="31" t="str">
        <f t="shared" ca="1" si="5"/>
        <v>Back Door</v>
      </c>
      <c r="N75" s="20"/>
      <c r="O75" s="33"/>
      <c r="P75" s="27"/>
      <c r="Q75" s="24"/>
      <c r="R75" s="451" t="str">
        <f ca="1">I75</f>
        <v>P1-6</v>
      </c>
    </row>
    <row r="76" spans="1:18" ht="15.75" customHeight="1">
      <c r="C76" s="165" t="s">
        <v>117</v>
      </c>
      <c r="D76" s="347" cm="1">
        <f t="array" aca="1" ref="D76" ca="1">INDIRECT("'Worksheet'!$H"&amp;$B69)</f>
        <v>0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52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>YES</v>
      </c>
      <c r="E77" s="348" t="str" cm="1">
        <f t="array" aca="1" ref="E77" ca="1">INDIRECT("'Worksheet'!$X"&amp;$B69)</f>
        <v xml:space="preserve">Flameguard </v>
      </c>
      <c r="F77" s="39"/>
      <c r="G77" s="20"/>
      <c r="H77" s="393" cm="1">
        <f t="array" aca="1" ref="H77" ca="1">INDIRECT("'Worksheet'!$R"&amp;$B69)</f>
        <v>64</v>
      </c>
      <c r="I77" s="452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4">
        <f ca="1">H77</f>
        <v>64</v>
      </c>
      <c r="R77" s="452"/>
    </row>
    <row r="78" spans="1:18" ht="15.75" customHeight="1">
      <c r="C78" s="165" t="s">
        <v>13</v>
      </c>
      <c r="D78" s="348" t="str" cm="1">
        <f t="array" aca="1" ref="D78" ca="1">INDIRECT("'Worksheet'!$W"&amp;$B69)</f>
        <v>5th Avenue 72</v>
      </c>
      <c r="E78" s="22"/>
      <c r="F78" s="23"/>
      <c r="G78" s="22"/>
      <c r="H78" s="393" cm="1">
        <f t="array" aca="1" ref="H78" ca="1">INDIRECT("'Worksheet'!$P"&amp;$B69)</f>
        <v>74</v>
      </c>
      <c r="I78" s="453"/>
      <c r="L78" s="165" t="s">
        <v>13</v>
      </c>
      <c r="M78" s="21" t="str">
        <f t="shared" ca="1" si="5"/>
        <v>5th Avenue 72</v>
      </c>
      <c r="N78" s="22"/>
      <c r="O78" s="23"/>
      <c r="P78" s="22"/>
      <c r="Q78" s="394">
        <f ca="1">H78</f>
        <v>74</v>
      </c>
      <c r="R78" s="453"/>
    </row>
    <row r="79" spans="1:18" ht="22.8">
      <c r="C79" s="349" t="str" cm="1">
        <f t="array" aca="1" ref="C79" ca="1">INDIRECT("'Worksheet'!$J"&amp;$B69)</f>
        <v>sor t&amp;b</v>
      </c>
      <c r="D79" s="450" t="str" cm="1">
        <f t="array" aca="1" ref="D79" ca="1">IF(INDIRECT("'Worksheet'!$D"&amp;$B69)=1, "Left of Pair", IF(INDIRECT("'Worksheet'!$E"&amp;$B69)=1, "Panel"))</f>
        <v>Panel</v>
      </c>
      <c r="E79" s="450"/>
      <c r="F79" s="450"/>
      <c r="G79" s="375"/>
      <c r="H79" s="375" t="str" cm="1">
        <f t="array" aca="1" ref="H79" ca="1">IF(INDIRECT("'Worksheet'!$F"&amp;$B69)="st","SOR T&amp;B"," ")</f>
        <v>SOR T&amp;B</v>
      </c>
      <c r="I79" s="376"/>
      <c r="L79" s="41" t="str">
        <f ca="1">$C79</f>
        <v>sor t&amp;b</v>
      </c>
      <c r="M79" s="450" t="str" cm="1">
        <f t="array" aca="1" ref="M79" ca="1">IF(INDIRECT("'Worksheet'!$D"&amp;$B69)=1, "Right of Pair", IF(INDIRECT("'Worksheet'!$E"&amp;$B69)=1, "Do Not Use"))</f>
        <v>Do Not Use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+Worksheet!$W$4</f>
        <v xml:space="preserve">Zuni Annex  WO#J5104785-00267 </v>
      </c>
      <c r="E83" s="22"/>
      <c r="F83" s="23"/>
      <c r="G83" s="22"/>
      <c r="H83" s="24"/>
      <c r="I83" s="25">
        <f>+Worksheet!$AR$1</f>
        <v>32990</v>
      </c>
      <c r="J83" s="26"/>
      <c r="L83" s="165" t="s">
        <v>113</v>
      </c>
      <c r="M83" s="21" t="str">
        <f>+Worksheet!$W$4</f>
        <v xml:space="preserve">Zuni Annex  WO#J5104785-00267 </v>
      </c>
      <c r="N83" s="22"/>
      <c r="O83" s="23"/>
      <c r="P83" s="22"/>
      <c r="Q83" s="24"/>
      <c r="R83" s="25">
        <f>+Worksheet!$AR$1</f>
        <v>32990</v>
      </c>
    </row>
    <row r="84" spans="1:18" ht="31.8">
      <c r="C84" s="166" t="s">
        <v>128</v>
      </c>
      <c r="D84" s="151" cm="1">
        <f t="array" aca="1" ref="D84" ca="1">INDIRECT("'Worksheet'!$K"&amp;$B83)</f>
        <v>0</v>
      </c>
      <c r="E84" s="152" t="s">
        <v>115</v>
      </c>
      <c r="F84" s="151" cm="1">
        <f t="array" aca="1" ref="F84" ca="1">INDIRECT("'Worksheet'!$M"&amp;$B83)</f>
        <v>3</v>
      </c>
      <c r="G84" s="152" t="s">
        <v>122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3</v>
      </c>
      <c r="P84" s="152" t="s">
        <v>122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70">
        <f ca="1">H84+15</f>
        <v>15</v>
      </c>
      <c r="G85" s="444" cm="1">
        <f t="array" aca="1" ref="G85" ca="1">INDIRECT("'Worksheet'!$Y"&amp;$B83)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1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3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3</v>
      </c>
    </row>
    <row r="89" spans="1:18" ht="12.75" customHeight="1">
      <c r="C89" s="169" t="s">
        <v>114</v>
      </c>
      <c r="D89" s="374" cm="1">
        <f t="array" aca="1" ref="D89" ca="1">INDIRECT("'Worksheet'!$B"&amp;$B83)</f>
        <v>0</v>
      </c>
      <c r="E89" s="22"/>
      <c r="F89" s="23"/>
      <c r="G89" s="22"/>
      <c r="H89" s="24"/>
      <c r="I89" s="451" t="str" cm="1">
        <f t="array" aca="1" ref="I89" ca="1">INDIRECT("'Worksheet'!$A"&amp;$B83)</f>
        <v>P1-7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P1-7</v>
      </c>
    </row>
    <row r="90" spans="1:18" ht="15.75" customHeight="1">
      <c r="C90" s="165" t="s">
        <v>117</v>
      </c>
      <c r="D90" s="347" cm="1">
        <f t="array" aca="1" ref="D90" ca="1">INDIRECT("'Worksheet'!$H"&amp;$B83)</f>
        <v>0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INDIRECT("'Worksheet'!$X"&amp;$B83)</f>
        <v>0</v>
      </c>
      <c r="F91" s="39"/>
      <c r="G91" s="20"/>
      <c r="H91" s="393" t="str" cm="1">
        <f t="array" aca="1" ref="H91" ca="1">INDIRECT("'Worksheet'!$R"&amp;$B83)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4" t="str">
        <f ca="1">H91</f>
        <v xml:space="preserve"> </v>
      </c>
      <c r="R91" s="452"/>
    </row>
    <row r="92" spans="1:18" ht="15.75" customHeight="1">
      <c r="C92" s="165" t="s">
        <v>13</v>
      </c>
      <c r="D92" s="348" cm="1">
        <f t="array" aca="1" ref="D92" ca="1">INDIRECT("'Worksheet'!$W"&amp;$B83)</f>
        <v>0</v>
      </c>
      <c r="E92" s="22"/>
      <c r="F92" s="23"/>
      <c r="G92" s="22"/>
      <c r="H92" s="393" t="str" cm="1">
        <f t="array" aca="1" ref="H92" ca="1">INDIRECT("'Worksheet'!$P"&amp;$B83)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394" t="str">
        <f ca="1">H92</f>
        <v xml:space="preserve"> </v>
      </c>
      <c r="R92" s="453"/>
    </row>
    <row r="93" spans="1:18" ht="22.8">
      <c r="C93" s="349" cm="1">
        <f t="array" aca="1" ref="C93" ca="1">INDIRECT("'Worksheet'!$J"&amp;$B83)</f>
        <v>0</v>
      </c>
      <c r="D93" s="450" t="b" cm="1">
        <f t="array" aca="1" ref="D93" ca="1">IF(INDIRECT("'Worksheet'!$D"&amp;$B83)=1, "Left of Pair", IF(INDIRECT("'Worksheet'!$E"&amp;$B83)=1, "Panel"))</f>
        <v>0</v>
      </c>
      <c r="E93" s="450"/>
      <c r="F93" s="450"/>
      <c r="G93" s="375"/>
      <c r="H93" s="375" t="str" cm="1">
        <f t="array" aca="1" ref="H93" ca="1">IF(INDIRECT("'Worksheet'!$F"&amp;$B83)="st","SOR T&amp;B"," ")</f>
        <v xml:space="preserve"> </v>
      </c>
      <c r="I93" s="376"/>
      <c r="L93" s="41">
        <f ca="1">$C93</f>
        <v>0</v>
      </c>
      <c r="M93" s="450" t="b" cm="1">
        <f t="array" aca="1" ref="M93" ca="1">IF(INDIRECT("'Worksheet'!$D"&amp;$B83)=1, "Right of Pair", IF(INDIRECT("'Worksheet'!$E"&amp;$B83)=1, "Do Not Use"))</f>
        <v>0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+Worksheet!$W$4</f>
        <v xml:space="preserve">Zuni Annex  WO#J5104785-00267 </v>
      </c>
      <c r="E97" s="22"/>
      <c r="F97" s="23"/>
      <c r="G97" s="22"/>
      <c r="H97" s="24"/>
      <c r="I97" s="25">
        <f>+Worksheet!$AR$1</f>
        <v>32990</v>
      </c>
      <c r="J97" s="26"/>
      <c r="L97" s="165" t="s">
        <v>113</v>
      </c>
      <c r="M97" s="21" t="str">
        <f>+Worksheet!$W$4</f>
        <v xml:space="preserve">Zuni Annex  WO#J5104785-00267 </v>
      </c>
      <c r="N97" s="22"/>
      <c r="O97" s="23"/>
      <c r="P97" s="22"/>
      <c r="Q97" s="24"/>
      <c r="R97" s="25">
        <f>+Worksheet!$AR$1</f>
        <v>32990</v>
      </c>
    </row>
    <row r="98" spans="1:18" ht="31.8">
      <c r="C98" s="166" t="s">
        <v>128</v>
      </c>
      <c r="D98" s="151" cm="1">
        <f t="array" aca="1" ref="D98" ca="1">INDIRECT("'Worksheet'!$K"&amp;$B97)</f>
        <v>0</v>
      </c>
      <c r="E98" s="152" t="s">
        <v>115</v>
      </c>
      <c r="F98" s="151" cm="1">
        <f t="array" aca="1" ref="F98" ca="1">INDIRECT("'Worksheet'!$M"&amp;$B97)</f>
        <v>3</v>
      </c>
      <c r="G98" s="152" t="s">
        <v>122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3</v>
      </c>
      <c r="P98" s="152" t="s">
        <v>122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3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3</v>
      </c>
    </row>
    <row r="103" spans="1:18" ht="12.75" customHeight="1">
      <c r="C103" s="169" t="s">
        <v>114</v>
      </c>
      <c r="D103" s="374" cm="1">
        <f t="array" aca="1" ref="D103" ca="1">INDIRECT("'Worksheet'!$B"&amp;$B97)</f>
        <v>0</v>
      </c>
      <c r="E103" s="22"/>
      <c r="F103" s="23"/>
      <c r="G103" s="22"/>
      <c r="H103" s="24"/>
      <c r="I103" s="451" t="str" cm="1">
        <f t="array" aca="1" ref="I103" ca="1">INDIRECT("'Worksheet'!$A"&amp;$B97)</f>
        <v>P1-8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P1-8</v>
      </c>
    </row>
    <row r="104" spans="1:18" ht="15.75" customHeight="1">
      <c r="C104" s="165" t="s">
        <v>117</v>
      </c>
      <c r="D104" s="347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INDIRECT("'Worksheet'!$X"&amp;$B97)</f>
        <v>0</v>
      </c>
      <c r="F105" s="39"/>
      <c r="G105" s="20"/>
      <c r="H105" s="393" t="str" cm="1">
        <f t="array" aca="1" ref="H105" ca="1">INDIRECT("'Worksheet'!$R"&amp;$B97)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4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INDIRECT("'Worksheet'!$W"&amp;$B97)</f>
        <v>0</v>
      </c>
      <c r="E106" s="22"/>
      <c r="F106" s="23"/>
      <c r="G106" s="22"/>
      <c r="H106" s="393" t="str" cm="1">
        <f t="array" aca="1" ref="H106" ca="1">INDIRECT("'Worksheet'!$P"&amp;$B97)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394" t="str">
        <f ca="1">H106</f>
        <v xml:space="preserve"> </v>
      </c>
      <c r="R106" s="453"/>
    </row>
    <row r="107" spans="1:18" ht="22.8">
      <c r="C107" s="349" cm="1">
        <f t="array" aca="1" ref="C107" ca="1">INDIRECT("'Worksheet'!$J"&amp;$B97)</f>
        <v>0</v>
      </c>
      <c r="D107" s="450" t="b" cm="1">
        <f t="array" aca="1" ref="D107" ca="1">IF(INDIRECT("'Worksheet'!$D"&amp;$B97)=1, "Left of Pair", IF(INDIRECT("'Worksheet'!$E"&amp;$B97)=1, "Panel"))</f>
        <v>0</v>
      </c>
      <c r="E107" s="450"/>
      <c r="F107" s="450"/>
      <c r="G107" s="375"/>
      <c r="H107" s="375" t="str" cm="1">
        <f t="array" aca="1" ref="H107" ca="1">IF(INDIRECT("'Worksheet'!$F"&amp;$B97)="st","SOR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IF(INDIRECT("'Worksheet'!$D"&amp;$B97)=1, "Right of Pair", IF(INDIRECT("'Worksheet'!$E"&amp;$B97)=1,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+Worksheet!$W$4</f>
        <v xml:space="preserve">Zuni Annex  WO#J5104785-00267 </v>
      </c>
      <c r="E109" s="22"/>
      <c r="F109" s="23"/>
      <c r="G109" s="22"/>
      <c r="H109" s="24"/>
      <c r="I109" s="25">
        <f>+Worksheet!$AR$1</f>
        <v>32990</v>
      </c>
      <c r="J109" s="26"/>
      <c r="L109" s="165" t="s">
        <v>113</v>
      </c>
      <c r="M109" s="21" t="str">
        <f>+Worksheet!$W$4</f>
        <v xml:space="preserve">Zuni Annex  WO#J5104785-00267 </v>
      </c>
      <c r="N109" s="22"/>
      <c r="O109" s="23"/>
      <c r="P109" s="22"/>
      <c r="Q109" s="24"/>
      <c r="R109" s="25">
        <f>+Worksheet!$AR$1</f>
        <v>32990</v>
      </c>
    </row>
    <row r="110" spans="1:18" ht="31.8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3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3</v>
      </c>
    </row>
    <row r="115" spans="1:18" ht="12.75" customHeight="1">
      <c r="C115" s="169" t="s">
        <v>114</v>
      </c>
      <c r="D115" s="374" cm="1">
        <f t="array" aca="1" ref="D115" ca="1">INDIRECT("'Worksheet'!$B"&amp;$B109)</f>
        <v>0</v>
      </c>
      <c r="E115" s="22"/>
      <c r="F115" s="23"/>
      <c r="G115" s="22"/>
      <c r="H115" s="24"/>
      <c r="I115" s="451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P1-9</v>
      </c>
    </row>
    <row r="116" spans="1:18" ht="15.75" customHeight="1">
      <c r="C116" s="165" t="s">
        <v>117</v>
      </c>
      <c r="D116" s="347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INDIRECT("'Worksheet'!$X"&amp;$B109)</f>
        <v>0</v>
      </c>
      <c r="F117" s="39"/>
      <c r="G117" s="20"/>
      <c r="H117" s="393" t="str" cm="1">
        <f t="array" aca="1" ref="H117" ca="1">INDIRECT("'Worksheet'!$R"&amp;$B109)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4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INDIRECT("'Worksheet'!$W"&amp;$B109)</f>
        <v>0</v>
      </c>
      <c r="E118" s="22"/>
      <c r="F118" s="23"/>
      <c r="G118" s="22"/>
      <c r="H118" s="393" t="str" cm="1">
        <f t="array" aca="1" ref="H118" ca="1">INDIRECT("'Worksheet'!$P"&amp;$B109)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394" t="str">
        <f ca="1">H118</f>
        <v xml:space="preserve"> </v>
      </c>
      <c r="R118" s="453"/>
    </row>
    <row r="119" spans="1:18" ht="22.8">
      <c r="C119" s="349" cm="1">
        <f t="array" aca="1" ref="C119" ca="1">INDIRECT("'Worksheet'!$J"&amp;$B109)</f>
        <v>0</v>
      </c>
      <c r="D119" s="450" t="b" cm="1">
        <f t="array" aca="1" ref="D119" ca="1">IF(INDIRECT("'Worksheet'!$D"&amp;$B109)=1, "Left of Pair", IF(INDIRECT("'Worksheet'!$E"&amp;$B109)=1, "Panel"))</f>
        <v>0</v>
      </c>
      <c r="E119" s="450"/>
      <c r="F119" s="450"/>
      <c r="G119" s="375"/>
      <c r="H119" s="375" t="str" cm="1">
        <f t="array" aca="1" ref="H119" ca="1">IF(INDIRECT("'Worksheet'!$F"&amp;$B109)="st","SOR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IF(INDIRECT("'Worksheet'!$D"&amp;$B109)=1, "Right of Pair", IF(INDIRECT("'Worksheet'!$E"&amp;$B109)=1,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+Worksheet!$W$4</f>
        <v xml:space="preserve">Zuni Annex  WO#J5104785-00267 </v>
      </c>
      <c r="E123" s="22"/>
      <c r="F123" s="23"/>
      <c r="G123" s="22"/>
      <c r="H123" s="24"/>
      <c r="I123" s="25">
        <f>+Worksheet!$AR$1</f>
        <v>32990</v>
      </c>
      <c r="J123" s="26"/>
      <c r="L123" s="165" t="s">
        <v>113</v>
      </c>
      <c r="M123" s="21" t="str">
        <f>+Worksheet!$W$4</f>
        <v xml:space="preserve">Zuni Annex  WO#J5104785-00267 </v>
      </c>
      <c r="N123" s="22"/>
      <c r="O123" s="23"/>
      <c r="P123" s="22"/>
      <c r="Q123" s="24"/>
      <c r="R123" s="25">
        <f>+Worksheet!$AR$1</f>
        <v>32990</v>
      </c>
    </row>
    <row r="124" spans="1:18" ht="31.8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3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3</v>
      </c>
    </row>
    <row r="129" spans="1:18" ht="12.75" customHeight="1">
      <c r="C129" s="169" t="s">
        <v>114</v>
      </c>
      <c r="D129" s="374" cm="1">
        <f t="array" aca="1" ref="D129" ca="1">INDIRECT("'Worksheet'!$B"&amp;$B123)</f>
        <v>0</v>
      </c>
      <c r="E129" s="22"/>
      <c r="F129" s="23"/>
      <c r="G129" s="22"/>
      <c r="H129" s="24"/>
      <c r="I129" s="451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P1-10</v>
      </c>
    </row>
    <row r="130" spans="1:18" ht="15.75" customHeight="1">
      <c r="C130" s="165" t="s">
        <v>117</v>
      </c>
      <c r="D130" s="347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INDIRECT("'Worksheet'!$X"&amp;$B123)</f>
        <v>0</v>
      </c>
      <c r="F131" s="39"/>
      <c r="G131" s="20"/>
      <c r="H131" s="393" t="str" cm="1">
        <f t="array" aca="1" ref="H131" ca="1">INDIRECT("'Worksheet'!$R"&amp;$B123)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4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INDIRECT("'Worksheet'!$W"&amp;$B123)</f>
        <v>0</v>
      </c>
      <c r="E132" s="22"/>
      <c r="F132" s="23"/>
      <c r="G132" s="22"/>
      <c r="H132" s="393" t="str" cm="1">
        <f t="array" aca="1" ref="H132" ca="1">INDIRECT("'Worksheet'!$P"&amp;$B123)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394" t="str">
        <f ca="1">H132</f>
        <v xml:space="preserve"> </v>
      </c>
      <c r="R132" s="453"/>
    </row>
    <row r="133" spans="1:18" ht="22.8">
      <c r="C133" s="349" cm="1">
        <f t="array" aca="1" ref="C133" ca="1">INDIRECT("'Worksheet'!$J"&amp;$B123)</f>
        <v>0</v>
      </c>
      <c r="D133" s="450" t="b" cm="1">
        <f t="array" aca="1" ref="D133" ca="1">IF(INDIRECT("'Worksheet'!$D"&amp;$B123)=1, "Left of Pair", IF(INDIRECT("'Worksheet'!$E"&amp;$B123)=1, "Panel"))</f>
        <v>0</v>
      </c>
      <c r="E133" s="450"/>
      <c r="F133" s="450"/>
      <c r="G133" s="375"/>
      <c r="H133" s="375" t="str" cm="1">
        <f t="array" aca="1" ref="H133" ca="1">IF(INDIRECT("'Worksheet'!$F"&amp;$B123)="st","SOR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IF(INDIRECT("'Worksheet'!$D"&amp;$B123)=1, "Right of Pair", IF(INDIRECT("'Worksheet'!$E"&amp;$B123)=1,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+Worksheet!$W$4</f>
        <v xml:space="preserve">Zuni Annex  WO#J5104785-00267 </v>
      </c>
      <c r="E137" s="22"/>
      <c r="F137" s="23"/>
      <c r="G137" s="22"/>
      <c r="H137" s="24"/>
      <c r="I137" s="25">
        <f>+Worksheet!$AR$1</f>
        <v>32990</v>
      </c>
      <c r="J137" s="26"/>
      <c r="L137" s="165" t="s">
        <v>113</v>
      </c>
      <c r="M137" s="21" t="str">
        <f>+Worksheet!$W$4</f>
        <v xml:space="preserve">Zuni Annex  WO#J5104785-00267 </v>
      </c>
      <c r="N137" s="22"/>
      <c r="O137" s="23"/>
      <c r="P137" s="22"/>
      <c r="Q137" s="24"/>
      <c r="R137" s="25">
        <f>+Worksheet!$AR$1</f>
        <v>32990</v>
      </c>
    </row>
    <row r="138" spans="1:18" ht="31.8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3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3</v>
      </c>
    </row>
    <row r="143" spans="1:18" ht="12.75" customHeight="1">
      <c r="C143" s="169" t="s">
        <v>114</v>
      </c>
      <c r="D143" s="374" cm="1">
        <f t="array" aca="1" ref="D143" ca="1">INDIRECT("'Worksheet'!$B"&amp;$B137)</f>
        <v>0</v>
      </c>
      <c r="E143" s="22"/>
      <c r="F143" s="23"/>
      <c r="G143" s="22"/>
      <c r="H143" s="24"/>
      <c r="I143" s="451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P1-11</v>
      </c>
    </row>
    <row r="144" spans="1:18" ht="15.75" customHeight="1">
      <c r="C144" s="165" t="s">
        <v>117</v>
      </c>
      <c r="D144" s="347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INDIRECT("'Worksheet'!$X"&amp;$B137)</f>
        <v>0</v>
      </c>
      <c r="F145" s="39"/>
      <c r="G145" s="20"/>
      <c r="H145" s="393" t="str" cm="1">
        <f t="array" aca="1" ref="H145" ca="1">INDIRECT("'Worksheet'!$R"&amp;$B137)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4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INDIRECT("'Worksheet'!$W"&amp;$B137)</f>
        <v>0</v>
      </c>
      <c r="E146" s="22"/>
      <c r="F146" s="23"/>
      <c r="G146" s="22"/>
      <c r="H146" s="393" t="str" cm="1">
        <f t="array" aca="1" ref="H146" ca="1">INDIRECT("'Worksheet'!$P"&amp;$B137)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394" t="str">
        <f ca="1">H146</f>
        <v xml:space="preserve"> </v>
      </c>
      <c r="R146" s="453"/>
    </row>
    <row r="147" spans="1:18" ht="22.8">
      <c r="C147" s="349" cm="1">
        <f t="array" aca="1" ref="C147" ca="1">INDIRECT("'Worksheet'!$J"&amp;$B137)</f>
        <v>0</v>
      </c>
      <c r="D147" s="450" t="b" cm="1">
        <f t="array" aca="1" ref="D147" ca="1">IF(INDIRECT("'Worksheet'!$D"&amp;$B137)=1, "Left of Pair", IF(INDIRECT("'Worksheet'!$E"&amp;$B137)=1, "Panel"))</f>
        <v>0</v>
      </c>
      <c r="E147" s="450"/>
      <c r="F147" s="450"/>
      <c r="G147" s="375"/>
      <c r="H147" s="375" t="str" cm="1">
        <f t="array" aca="1" ref="H147" ca="1">IF(INDIRECT("'Worksheet'!$F"&amp;$B137)="st","SOR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IF(INDIRECT("'Worksheet'!$D"&amp;$B137)=1, "Right of Pair", IF(INDIRECT("'Worksheet'!$E"&amp;$B137)=1,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+Worksheet!$W$4</f>
        <v xml:space="preserve">Zuni Annex  WO#J5104785-00267 </v>
      </c>
      <c r="E151" s="22"/>
      <c r="F151" s="23"/>
      <c r="G151" s="22"/>
      <c r="H151" s="24"/>
      <c r="I151" s="25">
        <f>+Worksheet!$AR$1</f>
        <v>32990</v>
      </c>
      <c r="J151" s="26"/>
      <c r="L151" s="165" t="s">
        <v>113</v>
      </c>
      <c r="M151" s="21" t="str">
        <f>+Worksheet!$W$4</f>
        <v xml:space="preserve">Zuni Annex  WO#J5104785-00267 </v>
      </c>
      <c r="N151" s="22"/>
      <c r="O151" s="23"/>
      <c r="P151" s="22"/>
      <c r="Q151" s="24"/>
      <c r="R151" s="25">
        <f>+Worksheet!$AR$1</f>
        <v>32990</v>
      </c>
    </row>
    <row r="152" spans="1:18" ht="31.8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3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3</v>
      </c>
    </row>
    <row r="157" spans="1:18" ht="12.75" customHeight="1">
      <c r="C157" s="169" t="s">
        <v>114</v>
      </c>
      <c r="D157" s="374" cm="1">
        <f t="array" aca="1" ref="D157" ca="1">INDIRECT("'Worksheet'!$B"&amp;$B151)</f>
        <v>0</v>
      </c>
      <c r="E157" s="22"/>
      <c r="F157" s="23"/>
      <c r="G157" s="22"/>
      <c r="H157" s="24"/>
      <c r="I157" s="451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P1-12</v>
      </c>
    </row>
    <row r="158" spans="1:18" ht="15.75" customHeight="1">
      <c r="C158" s="165" t="s">
        <v>117</v>
      </c>
      <c r="D158" s="347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INDIRECT("'Worksheet'!$X"&amp;$B151)</f>
        <v>0</v>
      </c>
      <c r="F159" s="39"/>
      <c r="G159" s="20"/>
      <c r="H159" s="393" t="str" cm="1">
        <f t="array" aca="1" ref="H159" ca="1">INDIRECT("'Worksheet'!$R"&amp;$B151)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4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INDIRECT("'Worksheet'!$W"&amp;$B151)</f>
        <v>0</v>
      </c>
      <c r="E160" s="22"/>
      <c r="F160" s="23"/>
      <c r="G160" s="22"/>
      <c r="H160" s="393" t="str" cm="1">
        <f t="array" aca="1" ref="H160" ca="1">INDIRECT("'Worksheet'!$P"&amp;$B151)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394" t="str">
        <f ca="1">H160</f>
        <v xml:space="preserve"> </v>
      </c>
      <c r="R160" s="453"/>
    </row>
    <row r="161" spans="1:18" ht="22.8">
      <c r="C161" s="349" cm="1">
        <f t="array" aca="1" ref="C161" ca="1">INDIRECT("'Worksheet'!$J"&amp;$B151)</f>
        <v>0</v>
      </c>
      <c r="D161" s="450" t="b" cm="1">
        <f t="array" aca="1" ref="D161" ca="1">IF(INDIRECT("'Worksheet'!$D"&amp;$B151)=1, "Left of Pair", IF(INDIRECT("'Worksheet'!$E"&amp;$B151)=1, "Panel"))</f>
        <v>0</v>
      </c>
      <c r="E161" s="450"/>
      <c r="F161" s="450"/>
      <c r="G161" s="375"/>
      <c r="H161" s="375" t="str" cm="1">
        <f t="array" aca="1" ref="H161" ca="1">IF(INDIRECT("'Worksheet'!$F"&amp;$B151)="st","SOR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IF(INDIRECT("'Worksheet'!$D"&amp;$B151)=1, "Right of Pair", IF(INDIRECT("'Worksheet'!$E"&amp;$B151)=1,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+Worksheet!$W$4</f>
        <v xml:space="preserve">Zuni Annex  WO#J5104785-00267 </v>
      </c>
      <c r="E163" s="22"/>
      <c r="F163" s="23"/>
      <c r="G163" s="22"/>
      <c r="H163" s="24"/>
      <c r="I163" s="25">
        <f>+Worksheet!$AR$1</f>
        <v>32990</v>
      </c>
      <c r="J163" s="26"/>
      <c r="L163" s="165" t="s">
        <v>113</v>
      </c>
      <c r="M163" s="21" t="str">
        <f>+Worksheet!$W$4</f>
        <v xml:space="preserve">Zuni Annex  WO#J5104785-00267 </v>
      </c>
      <c r="N163" s="22"/>
      <c r="O163" s="23"/>
      <c r="P163" s="22"/>
      <c r="Q163" s="24"/>
      <c r="R163" s="25">
        <f>+Worksheet!$AR$1</f>
        <v>32990</v>
      </c>
    </row>
    <row r="164" spans="1:18" ht="31.8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3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3</v>
      </c>
    </row>
    <row r="169" spans="1:18" ht="12.75" customHeight="1">
      <c r="C169" s="169" t="s">
        <v>114</v>
      </c>
      <c r="D169" s="374" cm="1">
        <f t="array" aca="1" ref="D169" ca="1">INDIRECT("'Worksheet'!$B"&amp;$B163)</f>
        <v>0</v>
      </c>
      <c r="E169" s="22"/>
      <c r="F169" s="23"/>
      <c r="G169" s="22"/>
      <c r="H169" s="24"/>
      <c r="I169" s="451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P1-13</v>
      </c>
    </row>
    <row r="170" spans="1:18" ht="15.75" customHeight="1">
      <c r="C170" s="165" t="s">
        <v>117</v>
      </c>
      <c r="D170" s="347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INDIRECT("'Worksheet'!$X"&amp;$B163)</f>
        <v>0</v>
      </c>
      <c r="F171" s="39"/>
      <c r="G171" s="20"/>
      <c r="H171" s="393" t="str" cm="1">
        <f t="array" aca="1" ref="H171" ca="1">INDIRECT("'Worksheet'!$R"&amp;$B163)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4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INDIRECT("'Worksheet'!$W"&amp;$B163)</f>
        <v>0</v>
      </c>
      <c r="E172" s="22"/>
      <c r="F172" s="23"/>
      <c r="G172" s="22"/>
      <c r="H172" s="393" t="str" cm="1">
        <f t="array" aca="1" ref="H172" ca="1">INDIRECT("'Worksheet'!$P"&amp;$B163)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394" t="str">
        <f ca="1">H172</f>
        <v xml:space="preserve"> </v>
      </c>
      <c r="R172" s="453"/>
    </row>
    <row r="173" spans="1:18" ht="22.8">
      <c r="C173" s="349" cm="1">
        <f t="array" aca="1" ref="C173" ca="1">INDIRECT("'Worksheet'!$J"&amp;$B163)</f>
        <v>0</v>
      </c>
      <c r="D173" s="450" t="b" cm="1">
        <f t="array" aca="1" ref="D173" ca="1">IF(INDIRECT("'Worksheet'!$D"&amp;$B163)=1, "Left of Pair", IF(INDIRECT("'Worksheet'!$E"&amp;$B163)=1, "Panel"))</f>
        <v>0</v>
      </c>
      <c r="E173" s="450"/>
      <c r="F173" s="450"/>
      <c r="G173" s="375"/>
      <c r="H173" s="375" t="str" cm="1">
        <f t="array" aca="1" ref="H173" ca="1">IF(INDIRECT("'Worksheet'!$F"&amp;$B163)="st","SOR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IF(INDIRECT("'Worksheet'!$D"&amp;$B163)=1, "Right of Pair", IF(INDIRECT("'Worksheet'!$E"&amp;$B163)=1,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+Worksheet!$W$4</f>
        <v xml:space="preserve">Zuni Annex  WO#J5104785-00267 </v>
      </c>
      <c r="E177" s="22"/>
      <c r="F177" s="23"/>
      <c r="G177" s="22"/>
      <c r="H177" s="24"/>
      <c r="I177" s="25">
        <f>+Worksheet!$AR$1</f>
        <v>32990</v>
      </c>
      <c r="J177" s="26"/>
      <c r="L177" s="165" t="s">
        <v>113</v>
      </c>
      <c r="M177" s="21" t="str">
        <f>+Worksheet!$W$4</f>
        <v xml:space="preserve">Zuni Annex  WO#J5104785-00267 </v>
      </c>
      <c r="N177" s="22"/>
      <c r="O177" s="23"/>
      <c r="P177" s="22"/>
      <c r="Q177" s="24"/>
      <c r="R177" s="25">
        <f>+Worksheet!$AR$1</f>
        <v>32990</v>
      </c>
    </row>
    <row r="178" spans="1:18" ht="31.8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3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3</v>
      </c>
    </row>
    <row r="183" spans="1:18" ht="12.75" customHeight="1">
      <c r="C183" s="169" t="s">
        <v>114</v>
      </c>
      <c r="D183" s="374" cm="1">
        <f t="array" aca="1" ref="D183" ca="1">INDIRECT("'Worksheet'!$B"&amp;$B177)</f>
        <v>0</v>
      </c>
      <c r="E183" s="22"/>
      <c r="F183" s="23"/>
      <c r="G183" s="22"/>
      <c r="H183" s="24"/>
      <c r="I183" s="451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P1-14</v>
      </c>
    </row>
    <row r="184" spans="1:18" ht="15.75" customHeight="1">
      <c r="C184" s="165" t="s">
        <v>117</v>
      </c>
      <c r="D184" s="347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INDIRECT("'Worksheet'!$X"&amp;$B177)</f>
        <v>0</v>
      </c>
      <c r="F185" s="39"/>
      <c r="G185" s="20"/>
      <c r="H185" s="393" t="str" cm="1">
        <f t="array" aca="1" ref="H185" ca="1">INDIRECT("'Worksheet'!$R"&amp;$B177)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4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INDIRECT("'Worksheet'!$W"&amp;$B177)</f>
        <v>0</v>
      </c>
      <c r="E186" s="22"/>
      <c r="F186" s="23"/>
      <c r="G186" s="22"/>
      <c r="H186" s="393" t="str" cm="1">
        <f t="array" aca="1" ref="H186" ca="1">INDIRECT("'Worksheet'!$P"&amp;$B177)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394" t="str">
        <f ca="1">H186</f>
        <v xml:space="preserve"> </v>
      </c>
      <c r="R186" s="453"/>
    </row>
    <row r="187" spans="1:18" ht="22.8">
      <c r="C187" s="349" cm="1">
        <f t="array" aca="1" ref="C187" ca="1">INDIRECT("'Worksheet'!$J"&amp;$B177)</f>
        <v>0</v>
      </c>
      <c r="D187" s="450" t="b" cm="1">
        <f t="array" aca="1" ref="D187" ca="1">IF(INDIRECT("'Worksheet'!$D"&amp;$B177)=1, "Left of Pair", IF(INDIRECT("'Worksheet'!$E"&amp;$B177)=1, "Panel"))</f>
        <v>0</v>
      </c>
      <c r="E187" s="450"/>
      <c r="F187" s="450"/>
      <c r="G187" s="375"/>
      <c r="H187" s="375" t="str" cm="1">
        <f t="array" aca="1" ref="H187" ca="1">IF(INDIRECT("'Worksheet'!$F"&amp;$B177)="st","SOR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IF(INDIRECT("'Worksheet'!$D"&amp;$B177)=1, "Right of Pair", IF(INDIRECT("'Worksheet'!$E"&amp;$B177)=1,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+Worksheet!$W$4</f>
        <v xml:space="preserve">Zuni Annex  WO#J5104785-00267 </v>
      </c>
      <c r="E191" s="22"/>
      <c r="F191" s="23"/>
      <c r="G191" s="22"/>
      <c r="H191" s="24"/>
      <c r="I191" s="25">
        <f>+Worksheet!$AR$1</f>
        <v>32990</v>
      </c>
      <c r="J191" s="26"/>
      <c r="L191" s="165" t="s">
        <v>113</v>
      </c>
      <c r="M191" s="21" t="str">
        <f>+Worksheet!$W$4</f>
        <v xml:space="preserve">Zuni Annex  WO#J5104785-00267 </v>
      </c>
      <c r="N191" s="22"/>
      <c r="O191" s="23"/>
      <c r="P191" s="22"/>
      <c r="Q191" s="24"/>
      <c r="R191" s="25">
        <f>+Worksheet!$AR$1</f>
        <v>32990</v>
      </c>
    </row>
    <row r="192" spans="1:18" ht="31.8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3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3</v>
      </c>
    </row>
    <row r="197" spans="1:18" ht="12.75" customHeight="1">
      <c r="C197" s="169" t="s">
        <v>114</v>
      </c>
      <c r="D197" s="374" cm="1">
        <f t="array" aca="1" ref="D197" ca="1">INDIRECT("'Worksheet'!$B"&amp;$B191)</f>
        <v>0</v>
      </c>
      <c r="E197" s="22"/>
      <c r="F197" s="23"/>
      <c r="G197" s="22"/>
      <c r="H197" s="24"/>
      <c r="I197" s="451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P1-15</v>
      </c>
    </row>
    <row r="198" spans="1:18" ht="15.75" customHeight="1">
      <c r="C198" s="165" t="s">
        <v>117</v>
      </c>
      <c r="D198" s="347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INDIRECT("'Worksheet'!$X"&amp;$B191)</f>
        <v>0</v>
      </c>
      <c r="F199" s="39"/>
      <c r="G199" s="20"/>
      <c r="H199" s="393" t="str" cm="1">
        <f t="array" aca="1" ref="H199" ca="1">INDIRECT("'Worksheet'!$R"&amp;$B191)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4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INDIRECT("'Worksheet'!$W"&amp;$B191)</f>
        <v>0</v>
      </c>
      <c r="E200" s="22"/>
      <c r="F200" s="23"/>
      <c r="G200" s="22"/>
      <c r="H200" s="393" t="str" cm="1">
        <f t="array" aca="1" ref="H200" ca="1">INDIRECT("'Worksheet'!$P"&amp;$B191)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394" t="str">
        <f ca="1">H200</f>
        <v xml:space="preserve"> </v>
      </c>
      <c r="R200" s="453"/>
    </row>
    <row r="201" spans="1:18" ht="22.8">
      <c r="C201" s="349" cm="1">
        <f t="array" aca="1" ref="C201" ca="1">INDIRECT("'Worksheet'!$J"&amp;$B191)</f>
        <v>0</v>
      </c>
      <c r="D201" s="450" t="b" cm="1">
        <f t="array" aca="1" ref="D201" ca="1">IF(INDIRECT("'Worksheet'!$D"&amp;$B191)=1, "Left of Pair", IF(INDIRECT("'Worksheet'!$E"&amp;$B191)=1, "Panel"))</f>
        <v>0</v>
      </c>
      <c r="E201" s="450"/>
      <c r="F201" s="450"/>
      <c r="G201" s="375"/>
      <c r="H201" s="375" t="str" cm="1">
        <f t="array" aca="1" ref="H201" ca="1">IF(INDIRECT("'Worksheet'!$F"&amp;$B191)="st","SOR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IF(INDIRECT("'Worksheet'!$D"&amp;$B191)=1, "Right of Pair", IF(INDIRECT("'Worksheet'!$E"&amp;$B191)=1,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+Worksheet!$W$4</f>
        <v xml:space="preserve">Zuni Annex  WO#J5104785-00267 </v>
      </c>
      <c r="E205" s="22"/>
      <c r="F205" s="23"/>
      <c r="G205" s="22"/>
      <c r="H205" s="24"/>
      <c r="I205" s="25">
        <f>+Worksheet!$AR$1</f>
        <v>32990</v>
      </c>
      <c r="J205" s="26"/>
      <c r="L205" s="165" t="s">
        <v>113</v>
      </c>
      <c r="M205" s="21" t="str">
        <f>+Worksheet!$W$4</f>
        <v xml:space="preserve">Zuni Annex  WO#J5104785-00267 </v>
      </c>
      <c r="N205" s="22"/>
      <c r="O205" s="23"/>
      <c r="P205" s="22"/>
      <c r="Q205" s="24"/>
      <c r="R205" s="25">
        <f>+Worksheet!$AR$1</f>
        <v>32990</v>
      </c>
    </row>
    <row r="206" spans="1:18" ht="31.8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3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3</v>
      </c>
    </row>
    <row r="211" spans="1:18" ht="12.75" customHeight="1">
      <c r="C211" s="169" t="s">
        <v>114</v>
      </c>
      <c r="D211" s="374" cm="1">
        <f t="array" aca="1" ref="D211" ca="1">INDIRECT("'Worksheet'!$B"&amp;$B205)</f>
        <v>0</v>
      </c>
      <c r="E211" s="22"/>
      <c r="F211" s="23"/>
      <c r="G211" s="22"/>
      <c r="H211" s="24"/>
      <c r="I211" s="451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P1-16</v>
      </c>
    </row>
    <row r="212" spans="1:18" ht="15.75" customHeight="1">
      <c r="C212" s="165" t="s">
        <v>117</v>
      </c>
      <c r="D212" s="347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INDIRECT("'Worksheet'!$X"&amp;$B205)</f>
        <v>0</v>
      </c>
      <c r="F213" s="39"/>
      <c r="G213" s="20"/>
      <c r="H213" s="393" t="str" cm="1">
        <f t="array" aca="1" ref="H213" ca="1">INDIRECT("'Worksheet'!$R"&amp;$B205)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4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INDIRECT("'Worksheet'!$W"&amp;$B205)</f>
        <v>0</v>
      </c>
      <c r="E214" s="22"/>
      <c r="F214" s="23"/>
      <c r="G214" s="22"/>
      <c r="H214" s="393" t="str" cm="1">
        <f t="array" aca="1" ref="H214" ca="1">INDIRECT("'Worksheet'!$P"&amp;$B205)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394" t="str">
        <f ca="1">H214</f>
        <v xml:space="preserve"> </v>
      </c>
      <c r="R214" s="453"/>
    </row>
    <row r="215" spans="1:18" ht="22.8">
      <c r="C215" s="349" cm="1">
        <f t="array" aca="1" ref="C215" ca="1">INDIRECT("'Worksheet'!$J"&amp;$B205)</f>
        <v>0</v>
      </c>
      <c r="D215" s="450" t="b" cm="1">
        <f t="array" aca="1" ref="D215" ca="1">IF(INDIRECT("'Worksheet'!$D"&amp;$B205)=1, "Left of Pair", IF(INDIRECT("'Worksheet'!$E"&amp;$B205)=1, "Panel"))</f>
        <v>0</v>
      </c>
      <c r="E215" s="450"/>
      <c r="F215" s="450"/>
      <c r="G215" s="375"/>
      <c r="H215" s="375" t="str" cm="1">
        <f t="array" aca="1" ref="H215" ca="1">IF(INDIRECT("'Worksheet'!$F"&amp;$B205)="st","SOR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IF(INDIRECT("'Worksheet'!$D"&amp;$B205)=1, "Right of Pair", IF(INDIRECT("'Worksheet'!$E"&amp;$B205)=1,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+Worksheet!$W$4</f>
        <v xml:space="preserve">Zuni Annex  WO#J5104785-00267 </v>
      </c>
      <c r="E217" s="22"/>
      <c r="F217" s="23"/>
      <c r="G217" s="22"/>
      <c r="H217" s="24"/>
      <c r="I217" s="25">
        <f>+Worksheet!$AR$1</f>
        <v>32990</v>
      </c>
      <c r="J217" s="26"/>
      <c r="L217" s="165" t="s">
        <v>113</v>
      </c>
      <c r="M217" s="21" t="str">
        <f>+Worksheet!$W$4</f>
        <v xml:space="preserve">Zuni Annex  WO#J5104785-00267 </v>
      </c>
      <c r="N217" s="22"/>
      <c r="O217" s="23"/>
      <c r="P217" s="22"/>
      <c r="Q217" s="24"/>
      <c r="R217" s="25">
        <f>+Worksheet!$AR$1</f>
        <v>32990</v>
      </c>
    </row>
    <row r="218" spans="1:18" ht="31.8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3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3</v>
      </c>
    </row>
    <row r="223" spans="1:18" ht="12.75" customHeight="1">
      <c r="C223" s="169" t="s">
        <v>114</v>
      </c>
      <c r="D223" s="374" cm="1">
        <f t="array" aca="1" ref="D223" ca="1">INDIRECT("'Worksheet'!$B"&amp;$B217)</f>
        <v>0</v>
      </c>
      <c r="E223" s="22"/>
      <c r="F223" s="23"/>
      <c r="G223" s="22"/>
      <c r="H223" s="24"/>
      <c r="I223" s="451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P1-17</v>
      </c>
    </row>
    <row r="224" spans="1:18" ht="15.75" customHeight="1">
      <c r="C224" s="165" t="s">
        <v>117</v>
      </c>
      <c r="D224" s="347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INDIRECT("'Worksheet'!$X"&amp;$B217)</f>
        <v>0</v>
      </c>
      <c r="F225" s="39"/>
      <c r="G225" s="20"/>
      <c r="H225" s="393" t="str" cm="1">
        <f t="array" aca="1" ref="H225" ca="1">INDIRECT("'Worksheet'!$R"&amp;$B217)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4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INDIRECT("'Worksheet'!$W"&amp;$B217)</f>
        <v>0</v>
      </c>
      <c r="E226" s="22"/>
      <c r="F226" s="23"/>
      <c r="G226" s="22"/>
      <c r="H226" s="393" t="str" cm="1">
        <f t="array" aca="1" ref="H226" ca="1">INDIRECT("'Worksheet'!$P"&amp;$B217)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394" t="str">
        <f ca="1">H226</f>
        <v xml:space="preserve"> </v>
      </c>
      <c r="R226" s="453"/>
    </row>
    <row r="227" spans="1:18" ht="22.8">
      <c r="C227" s="349" cm="1">
        <f t="array" aca="1" ref="C227" ca="1">INDIRECT("'Worksheet'!$J"&amp;$B217)</f>
        <v>0</v>
      </c>
      <c r="D227" s="450" t="b" cm="1">
        <f t="array" aca="1" ref="D227" ca="1">IF(INDIRECT("'Worksheet'!$D"&amp;$B217)=1, "Left of Pair", IF(INDIRECT("'Worksheet'!$E"&amp;$B217)=1, "Panel"))</f>
        <v>0</v>
      </c>
      <c r="E227" s="450"/>
      <c r="F227" s="450"/>
      <c r="G227" s="375"/>
      <c r="H227" s="375" t="str" cm="1">
        <f t="array" aca="1" ref="H227" ca="1">IF(INDIRECT("'Worksheet'!$F"&amp;$B217)="st","SOR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IF(INDIRECT("'Worksheet'!$D"&amp;$B217)=1, "Right of Pair", IF(INDIRECT("'Worksheet'!$E"&amp;$B217)=1,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+Worksheet!$W$4</f>
        <v xml:space="preserve">Zuni Annex  WO#J5104785-00267 </v>
      </c>
      <c r="E231" s="22"/>
      <c r="F231" s="23"/>
      <c r="G231" s="22"/>
      <c r="H231" s="24"/>
      <c r="I231" s="25">
        <f>+Worksheet!$AR$1</f>
        <v>32990</v>
      </c>
      <c r="J231" s="26"/>
      <c r="L231" s="165" t="s">
        <v>113</v>
      </c>
      <c r="M231" s="21" t="str">
        <f>+Worksheet!$W$4</f>
        <v xml:space="preserve">Zuni Annex  WO#J5104785-00267 </v>
      </c>
      <c r="N231" s="22"/>
      <c r="O231" s="23"/>
      <c r="P231" s="22"/>
      <c r="Q231" s="24"/>
      <c r="R231" s="25">
        <f>+Worksheet!$AR$1</f>
        <v>32990</v>
      </c>
    </row>
    <row r="232" spans="1:18" ht="31.8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3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3</v>
      </c>
    </row>
    <row r="237" spans="1:18" ht="12.75" customHeight="1">
      <c r="C237" s="169" t="s">
        <v>114</v>
      </c>
      <c r="D237" s="374" cm="1">
        <f t="array" aca="1" ref="D237" ca="1">INDIRECT("'Worksheet'!$B"&amp;$B231)</f>
        <v>0</v>
      </c>
      <c r="E237" s="22"/>
      <c r="F237" s="23"/>
      <c r="G237" s="22"/>
      <c r="H237" s="24"/>
      <c r="I237" s="451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P1-18</v>
      </c>
    </row>
    <row r="238" spans="1:18" ht="15.75" customHeight="1">
      <c r="C238" s="165" t="s">
        <v>117</v>
      </c>
      <c r="D238" s="347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INDIRECT("'Worksheet'!$X"&amp;$B231)</f>
        <v>0</v>
      </c>
      <c r="F239" s="39"/>
      <c r="G239" s="20"/>
      <c r="H239" s="393" t="str" cm="1">
        <f t="array" aca="1" ref="H239" ca="1">INDIRECT("'Worksheet'!$R"&amp;$B231)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4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INDIRECT("'Worksheet'!$W"&amp;$B231)</f>
        <v>0</v>
      </c>
      <c r="E240" s="22"/>
      <c r="F240" s="23"/>
      <c r="G240" s="22"/>
      <c r="H240" s="393" t="str" cm="1">
        <f t="array" aca="1" ref="H240" ca="1">INDIRECT("'Worksheet'!$P"&amp;$B231)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394" t="str">
        <f ca="1">H240</f>
        <v xml:space="preserve"> </v>
      </c>
      <c r="R240" s="453"/>
    </row>
    <row r="241" spans="1:18" ht="22.8">
      <c r="C241" s="349" cm="1">
        <f t="array" aca="1" ref="C241" ca="1">INDIRECT("'Worksheet'!$J"&amp;$B231)</f>
        <v>0</v>
      </c>
      <c r="D241" s="450" t="b" cm="1">
        <f t="array" aca="1" ref="D241" ca="1">IF(INDIRECT("'Worksheet'!$D"&amp;$B231)=1, "Left of Pair", IF(INDIRECT("'Worksheet'!$E"&amp;$B231)=1, "Panel"))</f>
        <v>0</v>
      </c>
      <c r="E241" s="450"/>
      <c r="F241" s="450"/>
      <c r="G241" s="375"/>
      <c r="H241" s="375" t="str" cm="1">
        <f t="array" aca="1" ref="H241" ca="1">IF(INDIRECT("'Worksheet'!$F"&amp;$B231)="st","SOR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IF(INDIRECT("'Worksheet'!$D"&amp;$B231)=1, "Right of Pair", IF(INDIRECT("'Worksheet'!$E"&amp;$B231)=1,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+Worksheet!$W$4</f>
        <v xml:space="preserve">Zuni Annex  WO#J5104785-00267 </v>
      </c>
      <c r="E245" s="22"/>
      <c r="F245" s="23"/>
      <c r="G245" s="22"/>
      <c r="H245" s="24"/>
      <c r="I245" s="25">
        <f>+Worksheet!$AR$1</f>
        <v>32990</v>
      </c>
      <c r="J245" s="26"/>
      <c r="L245" s="165" t="s">
        <v>113</v>
      </c>
      <c r="M245" s="21" t="str">
        <f>+Worksheet!$W$4</f>
        <v xml:space="preserve">Zuni Annex  WO#J5104785-00267 </v>
      </c>
      <c r="N245" s="22"/>
      <c r="O245" s="23"/>
      <c r="P245" s="22"/>
      <c r="Q245" s="24"/>
      <c r="R245" s="25">
        <f>+Worksheet!$AR$1</f>
        <v>32990</v>
      </c>
    </row>
    <row r="246" spans="1:18" ht="31.8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3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3</v>
      </c>
    </row>
    <row r="251" spans="1:18" ht="12.75" customHeight="1">
      <c r="C251" s="169" t="s">
        <v>114</v>
      </c>
      <c r="D251" s="374" cm="1">
        <f t="array" aca="1" ref="D251" ca="1">INDIRECT("'Worksheet'!$B"&amp;$B245)</f>
        <v>0</v>
      </c>
      <c r="E251" s="22"/>
      <c r="F251" s="23"/>
      <c r="G251" s="22"/>
      <c r="H251" s="24"/>
      <c r="I251" s="451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P1-19</v>
      </c>
    </row>
    <row r="252" spans="1:18" ht="15.75" customHeight="1">
      <c r="C252" s="165" t="s">
        <v>117</v>
      </c>
      <c r="D252" s="347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INDIRECT("'Worksheet'!$X"&amp;$B245)</f>
        <v>0</v>
      </c>
      <c r="F253" s="39"/>
      <c r="G253" s="20"/>
      <c r="H253" s="393" t="str" cm="1">
        <f t="array" aca="1" ref="H253" ca="1">INDIRECT("'Worksheet'!$R"&amp;$B245)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4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INDIRECT("'Worksheet'!$W"&amp;$B245)</f>
        <v>0</v>
      </c>
      <c r="E254" s="22"/>
      <c r="F254" s="23"/>
      <c r="G254" s="22"/>
      <c r="H254" s="393" t="str" cm="1">
        <f t="array" aca="1" ref="H254" ca="1">INDIRECT("'Worksheet'!$P"&amp;$B245)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394" t="str">
        <f ca="1">H254</f>
        <v xml:space="preserve"> </v>
      </c>
      <c r="R254" s="453"/>
    </row>
    <row r="255" spans="1:18" ht="22.8">
      <c r="C255" s="349" cm="1">
        <f t="array" aca="1" ref="C255" ca="1">INDIRECT("'Worksheet'!$J"&amp;$B245)</f>
        <v>0</v>
      </c>
      <c r="D255" s="450" t="b" cm="1">
        <f t="array" aca="1" ref="D255" ca="1">IF(INDIRECT("'Worksheet'!$D"&amp;$B245)=1, "Left of Pair", IF(INDIRECT("'Worksheet'!$E"&amp;$B245)=1, "Panel"))</f>
        <v>0</v>
      </c>
      <c r="E255" s="450"/>
      <c r="F255" s="450"/>
      <c r="G255" s="375"/>
      <c r="H255" s="375" t="str" cm="1">
        <f t="array" aca="1" ref="H255" ca="1">IF(INDIRECT("'Worksheet'!$F"&amp;$B245)="st","SOR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IF(INDIRECT("'Worksheet'!$D"&amp;$B245)=1, "Right of Pair", IF(INDIRECT("'Worksheet'!$E"&amp;$B245)=1,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+Worksheet!$W$4</f>
        <v xml:space="preserve">Zuni Annex  WO#J5104785-00267 </v>
      </c>
      <c r="E259" s="22"/>
      <c r="F259" s="23"/>
      <c r="G259" s="22"/>
      <c r="H259" s="24"/>
      <c r="I259" s="25">
        <f>+Worksheet!$AR$1</f>
        <v>32990</v>
      </c>
      <c r="J259" s="26"/>
      <c r="L259" s="165" t="s">
        <v>113</v>
      </c>
      <c r="M259" s="21" t="str">
        <f>+Worksheet!$W$4</f>
        <v xml:space="preserve">Zuni Annex  WO#J5104785-00267 </v>
      </c>
      <c r="N259" s="22"/>
      <c r="O259" s="23"/>
      <c r="P259" s="22"/>
      <c r="Q259" s="24"/>
      <c r="R259" s="25">
        <f>+Worksheet!$AR$1</f>
        <v>32990</v>
      </c>
    </row>
    <row r="260" spans="1:18" ht="31.8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3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3</v>
      </c>
    </row>
    <row r="265" spans="1:18" ht="12.75" customHeight="1">
      <c r="C265" s="169" t="s">
        <v>114</v>
      </c>
      <c r="D265" s="374" cm="1">
        <f t="array" aca="1" ref="D265" ca="1">INDIRECT("'Worksheet'!$B"&amp;$B259)</f>
        <v>0</v>
      </c>
      <c r="E265" s="22"/>
      <c r="F265" s="23"/>
      <c r="G265" s="22"/>
      <c r="H265" s="24"/>
      <c r="I265" s="451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P1-20</v>
      </c>
    </row>
    <row r="266" spans="1:18" ht="15.75" customHeight="1">
      <c r="C266" s="165" t="s">
        <v>117</v>
      </c>
      <c r="D266" s="347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INDIRECT("'Worksheet'!$X"&amp;$B259)</f>
        <v>0</v>
      </c>
      <c r="F267" s="39"/>
      <c r="G267" s="20"/>
      <c r="H267" s="393" t="str" cm="1">
        <f t="array" aca="1" ref="H267" ca="1">INDIRECT("'Worksheet'!$R"&amp;$B259)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4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INDIRECT("'Worksheet'!$W"&amp;$B259)</f>
        <v>0</v>
      </c>
      <c r="E268" s="22"/>
      <c r="F268" s="23"/>
      <c r="G268" s="22"/>
      <c r="H268" s="393" t="str" cm="1">
        <f t="array" aca="1" ref="H268" ca="1">INDIRECT("'Worksheet'!$P"&amp;$B259)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394" t="str">
        <f ca="1">H268</f>
        <v xml:space="preserve"> </v>
      </c>
      <c r="R268" s="453"/>
    </row>
    <row r="269" spans="1:18" ht="22.8">
      <c r="C269" s="349" cm="1">
        <f t="array" aca="1" ref="C269" ca="1">INDIRECT("'Worksheet'!$J"&amp;$B259)</f>
        <v>0</v>
      </c>
      <c r="D269" s="450" t="b" cm="1">
        <f t="array" aca="1" ref="D269" ca="1">IF(INDIRECT("'Worksheet'!$D"&amp;$B259)=1, "Left of Pair", IF(INDIRECT("'Worksheet'!$E"&amp;$B259)=1, "Panel"))</f>
        <v>0</v>
      </c>
      <c r="E269" s="450"/>
      <c r="F269" s="450"/>
      <c r="G269" s="375"/>
      <c r="H269" s="375" t="str" cm="1">
        <f t="array" aca="1" ref="H269" ca="1">IF(INDIRECT("'Worksheet'!$F"&amp;$B259)="st","SOR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IF(INDIRECT("'Worksheet'!$D"&amp;$B259)=1, "Right of Pair", IF(INDIRECT("'Worksheet'!$E"&amp;$B259)=1,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Worksheet!AR1</f>
        <v>32990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Worksheet!W4</f>
        <v xml:space="preserve">Zuni Annex  WO#J5104785-00267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Living Room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30</v>
      </c>
      <c r="H11" s="115">
        <f>Worksheet!H11</f>
        <v>3.5</v>
      </c>
      <c r="I11" s="112">
        <f>Worksheet!I11</f>
        <v>57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57</v>
      </c>
      <c r="P11" s="251">
        <f>Worksheet!P11</f>
        <v>74</v>
      </c>
      <c r="Q11" s="325">
        <f>Worksheet!Q11</f>
        <v>1.25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Living Room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30</v>
      </c>
      <c r="H12" s="115">
        <f>Worksheet!H12</f>
        <v>3.5</v>
      </c>
      <c r="I12" s="112">
        <f>Worksheet!I12</f>
        <v>57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57</v>
      </c>
      <c r="P12" s="251">
        <f>Worksheet!P12</f>
        <v>74</v>
      </c>
      <c r="Q12" s="325">
        <f>Worksheet!Q12</f>
        <v>1.25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Kitchen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45</v>
      </c>
      <c r="H13" s="115">
        <f>Worksheet!H13</f>
        <v>3.5</v>
      </c>
      <c r="I13" s="112">
        <f>Worksheet!I13</f>
        <v>57</v>
      </c>
      <c r="J13" s="246" t="str">
        <f t="shared" si="1"/>
        <v>dead</v>
      </c>
      <c r="K13" s="246">
        <f t="shared" si="2"/>
        <v>45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57</v>
      </c>
      <c r="P13" s="251">
        <f>Worksheet!P13</f>
        <v>74</v>
      </c>
      <c r="Q13" s="325">
        <f>Worksheet!Q13</f>
        <v>1.75</v>
      </c>
      <c r="R13" s="251">
        <f>Worksheet!R13</f>
        <v>64</v>
      </c>
      <c r="S13" s="326">
        <f>Worksheet!S13</f>
        <v>2.1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Bedroom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30</v>
      </c>
      <c r="H14" s="115">
        <f>Worksheet!H14</f>
        <v>3.5</v>
      </c>
      <c r="I14" s="112">
        <f>Worksheet!I14</f>
        <v>57</v>
      </c>
      <c r="J14" s="246" t="str">
        <f t="shared" si="1"/>
        <v>dead</v>
      </c>
      <c r="K14" s="246">
        <f t="shared" si="2"/>
        <v>30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57</v>
      </c>
      <c r="P14" s="251">
        <f>Worksheet!P14</f>
        <v>74</v>
      </c>
      <c r="Q14" s="325">
        <f>Worksheet!Q14</f>
        <v>1.25</v>
      </c>
      <c r="R14" s="251">
        <f>Worksheet!R14</f>
        <v>60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Liteless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Bedroom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57</v>
      </c>
      <c r="J15" s="246" t="str">
        <f t="shared" si="1"/>
        <v>dead</v>
      </c>
      <c r="K15" s="246">
        <f t="shared" si="2"/>
        <v>30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57</v>
      </c>
      <c r="P15" s="251">
        <f>Worksheet!P15</f>
        <v>74</v>
      </c>
      <c r="Q15" s="325">
        <f>Worksheet!Q15</f>
        <v>1.25</v>
      </c>
      <c r="R15" s="251">
        <f>Worksheet!R15</f>
        <v>60</v>
      </c>
      <c r="S15" s="326">
        <f>Worksheet!S15</f>
        <v>1.5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Liteless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Back Door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23</v>
      </c>
      <c r="H16" s="115">
        <f>Worksheet!H16</f>
        <v>0</v>
      </c>
      <c r="I16" s="112">
        <f>Worksheet!I16</f>
        <v>36</v>
      </c>
      <c r="J16" s="246" t="str">
        <f t="shared" si="1"/>
        <v>sor t&amp;b</v>
      </c>
      <c r="K16" s="246">
        <f t="shared" si="2"/>
        <v>23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36</v>
      </c>
      <c r="P16" s="251">
        <f>Worksheet!P16</f>
        <v>74</v>
      </c>
      <c r="Q16" s="325">
        <f>Worksheet!Q16</f>
        <v>0.8</v>
      </c>
      <c r="R16" s="251">
        <f>Worksheet!R16</f>
        <v>64</v>
      </c>
      <c r="S16" s="326">
        <f>Worksheet!S16</f>
        <v>0.9</v>
      </c>
      <c r="T16" s="114">
        <v>0</v>
      </c>
      <c r="U16" s="245">
        <f t="shared" si="5"/>
        <v>1</v>
      </c>
      <c r="V16" s="222" t="str">
        <f>Worksheet!V16</f>
        <v>Sash</v>
      </c>
      <c r="W16" s="222" t="str">
        <f>Worksheet!W16</f>
        <v>5th Avenue 72</v>
      </c>
      <c r="X16" s="223" t="str">
        <f>Worksheet!X16</f>
        <v xml:space="preserve">Flameguard </v>
      </c>
      <c r="Y16" s="58" t="str">
        <f>Worksheet!Y16</f>
        <v>1 1/2" Top &amp; Bottom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Worksheet!Z32</f>
        <v>15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Worksheet!Z33</f>
        <v>21.75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2.7583333333333333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457" t="str">
        <f>Worksheet!W4</f>
        <v xml:space="preserve">Zuni Annex  WO#J5104785-00267 </v>
      </c>
      <c r="X4" s="457"/>
      <c r="Y4" s="208" t="s">
        <v>2297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Worksheet!W5</f>
        <v>11B Paywa Rd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Worksheet!AR1</f>
        <v>32990</v>
      </c>
      <c r="R6" s="459"/>
      <c r="S6" s="58"/>
      <c r="T6" s="172"/>
      <c r="U6" s="76"/>
      <c r="V6" s="67"/>
      <c r="W6" s="441" t="str">
        <f>Worksheet!W6</f>
        <v>Zuni Pueblo, NM 87327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 t="str">
        <f>Worksheet!W7</f>
        <v>Key Box#4785 East Door Chapel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Living Room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30</v>
      </c>
      <c r="H11" s="115">
        <f>Worksheet!H11</f>
        <v>3.5</v>
      </c>
      <c r="I11" s="112">
        <f>Worksheet!I11</f>
        <v>57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57</v>
      </c>
      <c r="P11" s="251">
        <f>Worksheet!P11</f>
        <v>74</v>
      </c>
      <c r="Q11" s="325">
        <f>Worksheet!Q11</f>
        <v>1.25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Living Room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30</v>
      </c>
      <c r="H12" s="115">
        <f>Worksheet!H12</f>
        <v>3.5</v>
      </c>
      <c r="I12" s="112">
        <f>Worksheet!I12</f>
        <v>57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57</v>
      </c>
      <c r="P12" s="251">
        <f>Worksheet!P12</f>
        <v>74</v>
      </c>
      <c r="Q12" s="325">
        <f>Worksheet!Q12</f>
        <v>1.25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Kitchen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45</v>
      </c>
      <c r="H13" s="115">
        <f>Worksheet!H13</f>
        <v>3.5</v>
      </c>
      <c r="I13" s="112">
        <f>Worksheet!I13</f>
        <v>57</v>
      </c>
      <c r="J13" s="246" t="str">
        <f t="shared" si="1"/>
        <v>dead</v>
      </c>
      <c r="K13" s="246">
        <f t="shared" si="2"/>
        <v>45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57</v>
      </c>
      <c r="P13" s="251">
        <f>Worksheet!P13</f>
        <v>74</v>
      </c>
      <c r="Q13" s="325">
        <f>Worksheet!Q13</f>
        <v>1.75</v>
      </c>
      <c r="R13" s="251">
        <f>Worksheet!R13</f>
        <v>64</v>
      </c>
      <c r="S13" s="326">
        <f>Worksheet!S13</f>
        <v>2.1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Bedroom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30</v>
      </c>
      <c r="H14" s="115">
        <f>Worksheet!H14</f>
        <v>3.5</v>
      </c>
      <c r="I14" s="112">
        <f>Worksheet!I14</f>
        <v>57</v>
      </c>
      <c r="J14" s="246" t="str">
        <f t="shared" si="1"/>
        <v>dead</v>
      </c>
      <c r="K14" s="246">
        <f t="shared" si="2"/>
        <v>30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57</v>
      </c>
      <c r="P14" s="251">
        <f>Worksheet!P14</f>
        <v>74</v>
      </c>
      <c r="Q14" s="325">
        <f>Worksheet!Q14</f>
        <v>1.25</v>
      </c>
      <c r="R14" s="251">
        <f>Worksheet!R14</f>
        <v>60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Liteless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Bedroom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57</v>
      </c>
      <c r="J15" s="246" t="str">
        <f t="shared" si="1"/>
        <v>dead</v>
      </c>
      <c r="K15" s="246">
        <f t="shared" si="2"/>
        <v>30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57</v>
      </c>
      <c r="P15" s="251">
        <f>Worksheet!P15</f>
        <v>74</v>
      </c>
      <c r="Q15" s="325">
        <f>Worksheet!Q15</f>
        <v>1.25</v>
      </c>
      <c r="R15" s="251">
        <f>Worksheet!R15</f>
        <v>60</v>
      </c>
      <c r="S15" s="326">
        <f>Worksheet!S15</f>
        <v>1.5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Liteless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Back Door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23</v>
      </c>
      <c r="H16" s="115">
        <f>Worksheet!H16</f>
        <v>0</v>
      </c>
      <c r="I16" s="112">
        <f>Worksheet!I16</f>
        <v>36</v>
      </c>
      <c r="J16" s="246" t="str">
        <f t="shared" si="1"/>
        <v>sor t&amp;b</v>
      </c>
      <c r="K16" s="246">
        <f t="shared" si="2"/>
        <v>23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36</v>
      </c>
      <c r="P16" s="251">
        <f>Worksheet!P16</f>
        <v>74</v>
      </c>
      <c r="Q16" s="325">
        <f>Worksheet!Q16</f>
        <v>0.8</v>
      </c>
      <c r="R16" s="251">
        <f>Worksheet!R16</f>
        <v>64</v>
      </c>
      <c r="S16" s="326">
        <f>Worksheet!S16</f>
        <v>0.9</v>
      </c>
      <c r="T16" s="114">
        <v>0</v>
      </c>
      <c r="U16" s="245">
        <f t="shared" si="5"/>
        <v>1</v>
      </c>
      <c r="V16" s="222" t="str">
        <f>Worksheet!V16</f>
        <v>Sash</v>
      </c>
      <c r="W16" s="222" t="str">
        <f>Worksheet!W16</f>
        <v>5th Avenue 72</v>
      </c>
      <c r="X16" s="223" t="str">
        <f>Worksheet!X16</f>
        <v xml:space="preserve">Flameguard </v>
      </c>
      <c r="Y16" s="58" t="str">
        <f>Worksheet!Y16</f>
        <v>1 1/2" Top &amp; Bottom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Worksheet!AR1</f>
        <v>32990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255" t="s">
        <v>40</v>
      </c>
      <c r="W4" s="256">
        <f>Worksheet!W32</f>
        <v>0</v>
      </c>
      <c r="X4" s="256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Worksheet!W4</f>
        <v xml:space="preserve">Zuni Annex  WO#J5104785-00267 </v>
      </c>
      <c r="O6" s="324"/>
      <c r="P6" s="66"/>
      <c r="Q6" s="340"/>
      <c r="R6" s="341"/>
      <c r="S6" s="58"/>
      <c r="T6" s="172"/>
      <c r="U6" s="76"/>
      <c r="V6" s="164"/>
      <c r="W6" s="164">
        <f>Worksheet!W34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Living Room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30</v>
      </c>
      <c r="H11" s="115">
        <f>Worksheet!H11</f>
        <v>3.5</v>
      </c>
      <c r="I11" s="112">
        <f>Worksheet!I11</f>
        <v>57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30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57</v>
      </c>
      <c r="P11" s="251">
        <f>Worksheet!P11</f>
        <v>74</v>
      </c>
      <c r="Q11" s="325">
        <f>Worksheet!Q11</f>
        <v>1.25</v>
      </c>
      <c r="R11" s="251">
        <f>Worksheet!R11</f>
        <v>64</v>
      </c>
      <c r="S11" s="326">
        <f>Worksheet!S11</f>
        <v>1.5</v>
      </c>
      <c r="T11" s="114"/>
      <c r="U11" s="245">
        <f>+D11+E11</f>
        <v>1</v>
      </c>
      <c r="V11" s="222" t="str">
        <f>Worksheet!V11</f>
        <v>SKSCM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Living Room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30</v>
      </c>
      <c r="H12" s="115">
        <f>Worksheet!H12</f>
        <v>3.5</v>
      </c>
      <c r="I12" s="112">
        <f>Worksheet!I12</f>
        <v>57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30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57</v>
      </c>
      <c r="P12" s="251">
        <f>Worksheet!P12</f>
        <v>74</v>
      </c>
      <c r="Q12" s="325">
        <f>Worksheet!Q12</f>
        <v>1.25</v>
      </c>
      <c r="R12" s="251">
        <f>Worksheet!R12</f>
        <v>64</v>
      </c>
      <c r="S12" s="326">
        <f>Worksheet!S12</f>
        <v>1.5</v>
      </c>
      <c r="T12" s="114"/>
      <c r="U12" s="245">
        <f t="shared" ref="U12:U30" si="5">+D12+E12</f>
        <v>1</v>
      </c>
      <c r="V12" s="222" t="str">
        <f>Worksheet!V12</f>
        <v>SKSCM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Kitchen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45</v>
      </c>
      <c r="H13" s="115">
        <f>Worksheet!H13</f>
        <v>3.5</v>
      </c>
      <c r="I13" s="112">
        <f>Worksheet!I13</f>
        <v>57</v>
      </c>
      <c r="J13" s="246" t="str">
        <f t="shared" si="1"/>
        <v>dead</v>
      </c>
      <c r="K13" s="246">
        <f t="shared" si="2"/>
        <v>45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57</v>
      </c>
      <c r="P13" s="251">
        <f>Worksheet!P13</f>
        <v>74</v>
      </c>
      <c r="Q13" s="325">
        <f>Worksheet!Q13</f>
        <v>1.75</v>
      </c>
      <c r="R13" s="251">
        <f>Worksheet!R13</f>
        <v>64</v>
      </c>
      <c r="S13" s="326">
        <f>Worksheet!S13</f>
        <v>2.1</v>
      </c>
      <c r="T13" s="114"/>
      <c r="U13" s="245">
        <f t="shared" si="5"/>
        <v>1</v>
      </c>
      <c r="V13" s="222" t="str">
        <f>Worksheet!V13</f>
        <v>SKSCM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Bedroom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30</v>
      </c>
      <c r="H14" s="115">
        <f>Worksheet!H14</f>
        <v>3.5</v>
      </c>
      <c r="I14" s="112">
        <f>Worksheet!I14</f>
        <v>57</v>
      </c>
      <c r="J14" s="246" t="str">
        <f t="shared" si="1"/>
        <v>dead</v>
      </c>
      <c r="K14" s="246">
        <f t="shared" si="2"/>
        <v>30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57</v>
      </c>
      <c r="P14" s="251">
        <f>Worksheet!P14</f>
        <v>74</v>
      </c>
      <c r="Q14" s="325">
        <f>Worksheet!Q14</f>
        <v>1.25</v>
      </c>
      <c r="R14" s="251">
        <f>Worksheet!R14</f>
        <v>60</v>
      </c>
      <c r="S14" s="326">
        <f>Worksheet!S14</f>
        <v>1.5</v>
      </c>
      <c r="T14" s="114">
        <v>0</v>
      </c>
      <c r="U14" s="245">
        <f t="shared" si="5"/>
        <v>1</v>
      </c>
      <c r="V14" s="222" t="str">
        <f>Worksheet!V14</f>
        <v>SKSCM</v>
      </c>
      <c r="W14" s="222" t="str">
        <f>Worksheet!W14</f>
        <v>5th Avenue 72</v>
      </c>
      <c r="X14" s="223" t="str">
        <f>Worksheet!X14</f>
        <v xml:space="preserve">Liteless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Bedroom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30</v>
      </c>
      <c r="H15" s="115">
        <f>Worksheet!H15</f>
        <v>3.5</v>
      </c>
      <c r="I15" s="112">
        <f>Worksheet!I15</f>
        <v>57</v>
      </c>
      <c r="J15" s="246" t="str">
        <f t="shared" si="1"/>
        <v>dead</v>
      </c>
      <c r="K15" s="246">
        <f t="shared" si="2"/>
        <v>30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57</v>
      </c>
      <c r="P15" s="251">
        <f>Worksheet!P15</f>
        <v>74</v>
      </c>
      <c r="Q15" s="325">
        <f>Worksheet!Q15</f>
        <v>1.25</v>
      </c>
      <c r="R15" s="251">
        <f>Worksheet!R15</f>
        <v>60</v>
      </c>
      <c r="S15" s="326">
        <f>Worksheet!S15</f>
        <v>1.5</v>
      </c>
      <c r="T15" s="114">
        <v>0</v>
      </c>
      <c r="U15" s="245">
        <f t="shared" si="5"/>
        <v>1</v>
      </c>
      <c r="V15" s="222" t="str">
        <f>Worksheet!V15</f>
        <v>SKSCM</v>
      </c>
      <c r="W15" s="222" t="str">
        <f>Worksheet!W15</f>
        <v>5th Avenue 72</v>
      </c>
      <c r="X15" s="223" t="str">
        <f>Worksheet!X15</f>
        <v xml:space="preserve">Liteless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Back Door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ST</v>
      </c>
      <c r="G16" s="112">
        <f>Worksheet!G16</f>
        <v>23</v>
      </c>
      <c r="H16" s="115">
        <f>Worksheet!H16</f>
        <v>0</v>
      </c>
      <c r="I16" s="112">
        <f>Worksheet!I16</f>
        <v>36</v>
      </c>
      <c r="J16" s="246" t="str">
        <f t="shared" si="1"/>
        <v>sor t&amp;b</v>
      </c>
      <c r="K16" s="246">
        <f t="shared" si="2"/>
        <v>23</v>
      </c>
      <c r="L16" s="247">
        <f t="shared" si="3"/>
        <v>0</v>
      </c>
      <c r="M16" s="248">
        <f>Worksheet!M16</f>
        <v>0</v>
      </c>
      <c r="N16" s="249" t="str">
        <f t="shared" si="4"/>
        <v>x</v>
      </c>
      <c r="O16" s="250">
        <f t="shared" si="0"/>
        <v>36</v>
      </c>
      <c r="P16" s="251">
        <f>Worksheet!P16</f>
        <v>74</v>
      </c>
      <c r="Q16" s="325">
        <f>Worksheet!Q16</f>
        <v>0.8</v>
      </c>
      <c r="R16" s="251">
        <f>Worksheet!R16</f>
        <v>64</v>
      </c>
      <c r="S16" s="326">
        <f>Worksheet!S16</f>
        <v>0.9</v>
      </c>
      <c r="T16" s="114">
        <v>0</v>
      </c>
      <c r="U16" s="245">
        <f t="shared" si="5"/>
        <v>1</v>
      </c>
      <c r="V16" s="222" t="str">
        <f>Worksheet!V16</f>
        <v>Sash</v>
      </c>
      <c r="W16" s="222" t="str">
        <f>Worksheet!W16</f>
        <v>5th Avenue 72</v>
      </c>
      <c r="X16" s="223" t="str">
        <f>Worksheet!X16</f>
        <v xml:space="preserve">Flameguard </v>
      </c>
      <c r="Y16" s="58" t="str">
        <f>Worksheet!Y16</f>
        <v>1 1/2" Top &amp; Bottom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Worksheet!Z32</f>
        <v>15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Worksheet!Z33</f>
        <v>21.75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2.7583333333333333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3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3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3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8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8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SKSCM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SKSCM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SKSCM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SKSCM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9</v>
      </c>
      <c r="K39" s="232"/>
      <c r="L39" s="205">
        <v>5</v>
      </c>
      <c r="M39" s="238" t="str">
        <f>Worksheet!V15</f>
        <v>SKSCM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9</v>
      </c>
      <c r="K40" s="232"/>
      <c r="L40" s="205">
        <v>6</v>
      </c>
      <c r="M40" s="238" t="str">
        <f>Worksheet!V16</f>
        <v>Sash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13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9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9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6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8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2.4333333333333331</v>
      </c>
      <c r="C68">
        <f>Worksheet!AE11</f>
        <v>3.7222222222222223</v>
      </c>
      <c r="D68">
        <f>IF(Worksheet!AA11&gt;0,(Worksheet!AA11*Worksheet!P11+8)/36,0)</f>
        <v>2.6888888888888887</v>
      </c>
      <c r="E68">
        <f>IF(Worksheet!M11&gt;0,Worksheet!AA11+1,0)</f>
        <v>2.2000000000000002</v>
      </c>
      <c r="F68">
        <f ca="1">IF(Worksheet!M11&gt;0,I39+2,0)</f>
        <v>11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2.4333333333333331</v>
      </c>
      <c r="C69">
        <f>Worksheet!AE12</f>
        <v>3.7222222222222223</v>
      </c>
      <c r="D69">
        <f>IF(Worksheet!AA12&gt;0,(Worksheet!AA12*Worksheet!P12+8)/36,0)</f>
        <v>2.6888888888888887</v>
      </c>
      <c r="E69">
        <f>IF(Worksheet!M12&gt;0,Worksheet!AA12+1,0)</f>
        <v>2.2000000000000002</v>
      </c>
      <c r="F69">
        <f ca="1">IF(Worksheet!M12&gt;0,I40+2,0)</f>
        <v>11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3.447222222222222</v>
      </c>
      <c r="C70">
        <f>Worksheet!AE13</f>
        <v>5.583333333333333</v>
      </c>
      <c r="D70">
        <f>IF(Worksheet!AA13&gt;0,(Worksheet!AA13*Worksheet!P13+8)/36,0)</f>
        <v>3.7166666666666668</v>
      </c>
      <c r="E70">
        <f>IF(Worksheet!M13&gt;0,Worksheet!AA13+1,0)</f>
        <v>2.7</v>
      </c>
      <c r="F70">
        <f ca="1">IF(Worksheet!M13&gt;0,I41+2,0)</f>
        <v>15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2.4333333333333331</v>
      </c>
      <c r="C71">
        <f>Worksheet!AE14</f>
        <v>3.7222222222222223</v>
      </c>
      <c r="D71">
        <f>IF(Worksheet!AA14&gt;0,(Worksheet!AA14*Worksheet!P14+8)/36,0)</f>
        <v>2.6888888888888887</v>
      </c>
      <c r="E71">
        <f>IF(Worksheet!M14&gt;0,Worksheet!AA14+1,0)</f>
        <v>2.2000000000000002</v>
      </c>
      <c r="F71">
        <f ca="1">IF(Worksheet!M14&gt;0,I42+2,0)</f>
        <v>11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2.4333333333333331</v>
      </c>
      <c r="C72">
        <f>Worksheet!AE15</f>
        <v>3.7222222222222223</v>
      </c>
      <c r="D72">
        <f>IF(Worksheet!AA15&gt;0,(Worksheet!AA15*Worksheet!P15+8)/36,0)</f>
        <v>2.6888888888888887</v>
      </c>
      <c r="E72">
        <f>IF(Worksheet!M15&gt;0,Worksheet!AA15+1,0)</f>
        <v>2.2000000000000002</v>
      </c>
      <c r="F72">
        <f ca="1">IF(Worksheet!M15&gt;0,I43+2,0)</f>
        <v>11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1.1555555555555557</v>
      </c>
      <c r="C73">
        <f>Worksheet!AE16</f>
        <v>1.2777777777777777</v>
      </c>
      <c r="D73">
        <f>IF(Worksheet!AA16&gt;0,(Worksheet!AA16*Worksheet!P16+8)/36,0)</f>
        <v>1.8666666666666667</v>
      </c>
      <c r="E73">
        <f>IF(Worksheet!M16&gt;0,Worksheet!AA16+1,0)</f>
        <v>0</v>
      </c>
      <c r="F73">
        <f>IF(Worksheet!M16&gt;0,I44+2,0)</f>
        <v>0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>
        <f>IF(Worksheet!M16&gt;0,I68+2,0)</f>
        <v>0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101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SKSCM</v>
      </c>
    </row>
    <row r="130" spans="2:2">
      <c r="B130" t="str">
        <f>Worksheet!V12</f>
        <v>SKSCM</v>
      </c>
    </row>
    <row r="131" spans="2:2">
      <c r="B131" t="str">
        <f>Worksheet!V13</f>
        <v>SKSCM</v>
      </c>
    </row>
    <row r="132" spans="2:2">
      <c r="B132" t="str">
        <f>Worksheet!V14</f>
        <v>SKSCM</v>
      </c>
    </row>
    <row r="133" spans="2:2">
      <c r="B133" t="str">
        <f>Worksheet!V15</f>
        <v>SKSCM</v>
      </c>
    </row>
    <row r="134" spans="2:2">
      <c r="B134" t="str">
        <f>Worksheet!V16</f>
        <v>Sash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 xml:space="preserve"> </v>
      </c>
      <c r="O1" s="428"/>
      <c r="P1" s="428"/>
      <c r="Q1" s="428"/>
      <c r="R1" s="428"/>
      <c r="S1" s="428"/>
      <c r="T1" s="428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32990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50" t="str">
        <f>Worksheet!D3</f>
        <v>JLL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51">
        <f>Worksheet!D4</f>
        <v>0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390" t="str">
        <f>Worksheet!W4</f>
        <v xml:space="preserve">Zuni Annex  WO#J5104785-00267 </v>
      </c>
      <c r="X4" s="378"/>
      <c r="Y4" s="208" t="s">
        <v>2297</v>
      </c>
      <c r="Z4" s="212">
        <v>2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 xml:space="preserve">Zuni Annex  WO#J5104785-00267 </v>
      </c>
      <c r="AI4" s="421"/>
      <c r="AJ4" s="421"/>
      <c r="AK4" s="421"/>
      <c r="AM4" s="63"/>
      <c r="AN4" s="68"/>
      <c r="AO4" s="63"/>
      <c r="AP4" s="63"/>
      <c r="AQ4" s="382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51">
        <f>Worksheet!D5</f>
        <v>0</v>
      </c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58"/>
      <c r="Q5" s="58"/>
      <c r="R5" s="58"/>
      <c r="T5" s="58"/>
      <c r="U5" s="58"/>
      <c r="V5" s="67"/>
      <c r="W5" s="377" t="str">
        <f>Worksheet!W5</f>
        <v>11B Paywa Rd</v>
      </c>
      <c r="X5" s="377"/>
      <c r="Y5" s="377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383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351">
        <f>Worksheet!D6</f>
        <v>0</v>
      </c>
      <c r="E6" s="351"/>
      <c r="F6" s="351"/>
      <c r="G6" s="351"/>
      <c r="H6" s="351"/>
      <c r="I6" s="78" t="s">
        <v>109</v>
      </c>
      <c r="J6" s="352">
        <f>Worksheet!J6</f>
        <v>0</v>
      </c>
      <c r="K6" s="352"/>
      <c r="L6" s="352"/>
      <c r="M6" s="352"/>
      <c r="N6" s="352"/>
      <c r="O6" s="352"/>
      <c r="P6" s="58"/>
      <c r="Q6" s="173"/>
      <c r="R6" s="58"/>
      <c r="S6" s="58"/>
      <c r="T6" s="172"/>
      <c r="U6" s="76"/>
      <c r="V6" s="67"/>
      <c r="W6" s="377" t="str">
        <f>Worksheet!W6</f>
        <v>Zuni Pueblo, NM 87327</v>
      </c>
      <c r="X6" s="377"/>
      <c r="Y6" s="377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7">
        <f>Worksheet!D7</f>
        <v>0</v>
      </c>
      <c r="E7" s="377"/>
      <c r="F7" s="377"/>
      <c r="G7" s="377"/>
      <c r="H7" s="377"/>
      <c r="I7" s="78" t="s">
        <v>111</v>
      </c>
      <c r="J7" s="352">
        <f>Worksheet!J7</f>
        <v>0</v>
      </c>
      <c r="K7" s="352"/>
      <c r="L7" s="352"/>
      <c r="M7" s="352"/>
      <c r="N7" s="352"/>
      <c r="O7" s="352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Box#4785 East Door Chapel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30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f>sew_price</f>
        <v>60</v>
      </c>
      <c r="AM8" s="192">
        <f>install_price</f>
        <v>30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5">
        <f>IF(D11+E11&gt;0,IF(F11&gt;"u",0,IF(BA11="RR","RR",+BB11)),0)</f>
        <v>0</v>
      </c>
      <c r="R11" s="354" t="str">
        <f t="shared" ref="R11:R30" si="2">IF($C11&gt;0,VLOOKUP($X11,$BK$28:$BL$40,2,FALSE)," ")</f>
        <v xml:space="preserve"> </v>
      </c>
      <c r="S11" s="356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3">
        <f t="shared" ref="AA11:AA30" si="4">IF(D11+E11&gt;0,IF(F11&gt;"u",0,IF(BA11="RR","RR",ROUND(BA11,1))),0)</f>
        <v>0</v>
      </c>
      <c r="AB11" s="358">
        <f t="shared" ref="AB11:AB30" si="5">IF(D11+E11&gt;0,IF(P11&gt;75,BD11,+BC11),0)</f>
        <v>0</v>
      </c>
      <c r="AC11" s="359">
        <f t="shared" ref="AC11:AC30" si="6">IF(D11+E11&gt;0,IF(P11&gt;75,BI11,BE11),0)</f>
        <v>0</v>
      </c>
      <c r="AD11" s="360" t="str">
        <f t="shared" ref="AD11:AD30" si="7">IF($C11&gt;0,ROUNDUP((($K11+$M11)/25),0)," ")</f>
        <v xml:space="preserve"> </v>
      </c>
      <c r="AE11" s="369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5">
        <f t="shared" ref="Q12:Q30" si="29">IF(D12+E12&gt;0,IF(F12&gt;"u",0,IF(BA12="RR","RR",+BB12)),0)</f>
        <v>0</v>
      </c>
      <c r="R12" s="251" t="str">
        <f t="shared" si="2"/>
        <v xml:space="preserve"> </v>
      </c>
      <c r="S12" s="356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3">
        <f t="shared" si="4"/>
        <v>0</v>
      </c>
      <c r="AB12" s="358">
        <f t="shared" si="5"/>
        <v>0</v>
      </c>
      <c r="AC12" s="359">
        <f t="shared" si="6"/>
        <v>0</v>
      </c>
      <c r="AD12" s="360" t="str">
        <f t="shared" si="7"/>
        <v xml:space="preserve"> </v>
      </c>
      <c r="AE12" s="369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5">
        <f t="shared" si="29"/>
        <v>0</v>
      </c>
      <c r="R13" s="251" t="str">
        <f t="shared" si="2"/>
        <v xml:space="preserve"> </v>
      </c>
      <c r="S13" s="356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3">
        <f t="shared" si="4"/>
        <v>0</v>
      </c>
      <c r="AB13" s="358">
        <f t="shared" si="5"/>
        <v>0</v>
      </c>
      <c r="AC13" s="359">
        <f t="shared" si="6"/>
        <v>0</v>
      </c>
      <c r="AD13" s="360" t="str">
        <f t="shared" si="7"/>
        <v xml:space="preserve"> </v>
      </c>
      <c r="AE13" s="369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5">
        <f t="shared" si="29"/>
        <v>0</v>
      </c>
      <c r="R14" s="251" t="str">
        <f t="shared" si="2"/>
        <v xml:space="preserve"> </v>
      </c>
      <c r="S14" s="356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3">
        <f t="shared" si="4"/>
        <v>0</v>
      </c>
      <c r="AB14" s="358">
        <f t="shared" si="5"/>
        <v>0</v>
      </c>
      <c r="AC14" s="359">
        <f t="shared" si="6"/>
        <v>0</v>
      </c>
      <c r="AD14" s="360" t="str">
        <f t="shared" si="7"/>
        <v xml:space="preserve"> </v>
      </c>
      <c r="AE14" s="369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5">
        <f t="shared" si="29"/>
        <v>0</v>
      </c>
      <c r="R15" s="251" t="str">
        <f t="shared" si="2"/>
        <v xml:space="preserve"> </v>
      </c>
      <c r="S15" s="356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3">
        <f t="shared" si="4"/>
        <v>0</v>
      </c>
      <c r="AB15" s="358">
        <f t="shared" si="5"/>
        <v>0</v>
      </c>
      <c r="AC15" s="359">
        <f t="shared" si="6"/>
        <v>0</v>
      </c>
      <c r="AD15" s="360" t="str">
        <f t="shared" si="7"/>
        <v xml:space="preserve"> </v>
      </c>
      <c r="AE15" s="369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5">
        <f t="shared" si="29"/>
        <v>0</v>
      </c>
      <c r="R16" s="251" t="str">
        <f t="shared" si="2"/>
        <v xml:space="preserve"> </v>
      </c>
      <c r="S16" s="356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3">
        <f t="shared" si="4"/>
        <v>0</v>
      </c>
      <c r="AB16" s="358">
        <f t="shared" si="5"/>
        <v>0</v>
      </c>
      <c r="AC16" s="359">
        <f t="shared" si="6"/>
        <v>0</v>
      </c>
      <c r="AD16" s="360" t="str">
        <f t="shared" si="7"/>
        <v xml:space="preserve"> </v>
      </c>
      <c r="AE16" s="369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5">
        <f t="shared" si="29"/>
        <v>0</v>
      </c>
      <c r="R17" s="251" t="str">
        <f t="shared" si="2"/>
        <v xml:space="preserve"> </v>
      </c>
      <c r="S17" s="356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3">
        <f t="shared" si="4"/>
        <v>0</v>
      </c>
      <c r="AB17" s="358">
        <f t="shared" si="5"/>
        <v>0</v>
      </c>
      <c r="AC17" s="359">
        <f t="shared" si="6"/>
        <v>0</v>
      </c>
      <c r="AD17" s="360" t="str">
        <f t="shared" si="7"/>
        <v xml:space="preserve"> </v>
      </c>
      <c r="AE17" s="369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5">
        <f t="shared" si="29"/>
        <v>0</v>
      </c>
      <c r="R18" s="251" t="str">
        <f t="shared" si="2"/>
        <v xml:space="preserve"> </v>
      </c>
      <c r="S18" s="356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3">
        <f t="shared" si="4"/>
        <v>0</v>
      </c>
      <c r="AB18" s="358">
        <f t="shared" si="5"/>
        <v>0</v>
      </c>
      <c r="AC18" s="359">
        <f t="shared" si="6"/>
        <v>0</v>
      </c>
      <c r="AD18" s="360" t="str">
        <f t="shared" si="7"/>
        <v xml:space="preserve"> </v>
      </c>
      <c r="AE18" s="369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5">
        <f t="shared" si="29"/>
        <v>0</v>
      </c>
      <c r="R19" s="251" t="str">
        <f t="shared" si="2"/>
        <v xml:space="preserve"> </v>
      </c>
      <c r="S19" s="356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3">
        <f t="shared" si="4"/>
        <v>0</v>
      </c>
      <c r="AB19" s="358">
        <f t="shared" si="5"/>
        <v>0</v>
      </c>
      <c r="AC19" s="359">
        <f t="shared" si="6"/>
        <v>0</v>
      </c>
      <c r="AD19" s="360" t="str">
        <f t="shared" si="7"/>
        <v xml:space="preserve"> </v>
      </c>
      <c r="AE19" s="369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5">
        <f t="shared" si="29"/>
        <v>0</v>
      </c>
      <c r="R20" s="251" t="str">
        <f t="shared" si="2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4"/>
        <v>0</v>
      </c>
      <c r="AB20" s="358">
        <f t="shared" si="5"/>
        <v>0</v>
      </c>
      <c r="AC20" s="359">
        <f t="shared" si="6"/>
        <v>0</v>
      </c>
      <c r="AD20" s="360" t="str">
        <f t="shared" si="7"/>
        <v xml:space="preserve"> </v>
      </c>
      <c r="AE20" s="369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5">
        <f t="shared" si="29"/>
        <v>0</v>
      </c>
      <c r="R21" s="251" t="str">
        <f t="shared" si="2"/>
        <v xml:space="preserve"> </v>
      </c>
      <c r="S21" s="356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3">
        <f t="shared" si="4"/>
        <v>0</v>
      </c>
      <c r="AB21" s="358">
        <f t="shared" si="5"/>
        <v>0</v>
      </c>
      <c r="AC21" s="359">
        <f t="shared" si="6"/>
        <v>0</v>
      </c>
      <c r="AD21" s="360" t="str">
        <f t="shared" si="7"/>
        <v xml:space="preserve"> </v>
      </c>
      <c r="AE21" s="369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5">
        <f t="shared" si="29"/>
        <v>0</v>
      </c>
      <c r="R22" s="251" t="str">
        <f t="shared" si="2"/>
        <v xml:space="preserve"> </v>
      </c>
      <c r="S22" s="356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3">
        <f t="shared" si="4"/>
        <v>0</v>
      </c>
      <c r="AB22" s="358">
        <f t="shared" si="5"/>
        <v>0</v>
      </c>
      <c r="AC22" s="359">
        <f t="shared" si="6"/>
        <v>0</v>
      </c>
      <c r="AD22" s="360" t="str">
        <f t="shared" si="7"/>
        <v xml:space="preserve"> </v>
      </c>
      <c r="AE22" s="369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5">
        <f t="shared" si="29"/>
        <v>0</v>
      </c>
      <c r="R23" s="251" t="str">
        <f t="shared" si="2"/>
        <v xml:space="preserve"> </v>
      </c>
      <c r="S23" s="356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3">
        <f t="shared" si="4"/>
        <v>0</v>
      </c>
      <c r="AB23" s="358">
        <f t="shared" si="5"/>
        <v>0</v>
      </c>
      <c r="AC23" s="359">
        <f t="shared" si="6"/>
        <v>0</v>
      </c>
      <c r="AD23" s="360" t="str">
        <f t="shared" si="7"/>
        <v xml:space="preserve"> </v>
      </c>
      <c r="AE23" s="369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5">
        <f t="shared" si="29"/>
        <v>0</v>
      </c>
      <c r="R24" s="251" t="str">
        <f t="shared" si="2"/>
        <v xml:space="preserve"> </v>
      </c>
      <c r="S24" s="356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3">
        <f t="shared" si="4"/>
        <v>0</v>
      </c>
      <c r="AB24" s="358">
        <f t="shared" si="5"/>
        <v>0</v>
      </c>
      <c r="AC24" s="359">
        <f t="shared" si="6"/>
        <v>0</v>
      </c>
      <c r="AD24" s="360" t="str">
        <f t="shared" si="7"/>
        <v xml:space="preserve"> </v>
      </c>
      <c r="AE24" s="369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5">
        <f t="shared" si="29"/>
        <v>0</v>
      </c>
      <c r="R25" s="251" t="str">
        <f t="shared" si="2"/>
        <v xml:space="preserve"> </v>
      </c>
      <c r="S25" s="356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3">
        <f t="shared" si="4"/>
        <v>0</v>
      </c>
      <c r="AB25" s="358">
        <f t="shared" si="5"/>
        <v>0</v>
      </c>
      <c r="AC25" s="359">
        <f t="shared" si="6"/>
        <v>0</v>
      </c>
      <c r="AD25" s="360" t="str">
        <f t="shared" si="7"/>
        <v xml:space="preserve"> </v>
      </c>
      <c r="AE25" s="369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5">
        <f t="shared" si="29"/>
        <v>0</v>
      </c>
      <c r="R26" s="251" t="str">
        <f t="shared" si="2"/>
        <v xml:space="preserve"> </v>
      </c>
      <c r="S26" s="356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3">
        <f t="shared" si="4"/>
        <v>0</v>
      </c>
      <c r="AB26" s="358">
        <f t="shared" si="5"/>
        <v>0</v>
      </c>
      <c r="AC26" s="359">
        <f t="shared" si="6"/>
        <v>0</v>
      </c>
      <c r="AD26" s="360" t="str">
        <f t="shared" si="7"/>
        <v xml:space="preserve"> </v>
      </c>
      <c r="AE26" s="369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5">
        <f t="shared" si="29"/>
        <v>0</v>
      </c>
      <c r="R27" s="251" t="str">
        <f t="shared" si="2"/>
        <v xml:space="preserve"> </v>
      </c>
      <c r="S27" s="356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3">
        <f t="shared" si="4"/>
        <v>0</v>
      </c>
      <c r="AB27" s="358">
        <f t="shared" si="5"/>
        <v>0</v>
      </c>
      <c r="AC27" s="359">
        <f t="shared" si="6"/>
        <v>0</v>
      </c>
      <c r="AD27" s="360" t="str">
        <f t="shared" si="7"/>
        <v xml:space="preserve"> </v>
      </c>
      <c r="AE27" s="369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5">
        <f t="shared" si="29"/>
        <v>0</v>
      </c>
      <c r="R28" s="251" t="str">
        <f t="shared" si="2"/>
        <v xml:space="preserve"> </v>
      </c>
      <c r="S28" s="356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3">
        <f t="shared" si="4"/>
        <v>0</v>
      </c>
      <c r="AB28" s="358">
        <f t="shared" si="5"/>
        <v>0</v>
      </c>
      <c r="AC28" s="359">
        <f t="shared" si="6"/>
        <v>0</v>
      </c>
      <c r="AD28" s="360" t="str">
        <f t="shared" si="7"/>
        <v xml:space="preserve"> </v>
      </c>
      <c r="AE28" s="369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5">
        <f t="shared" si="29"/>
        <v>0</v>
      </c>
      <c r="R29" s="251" t="str">
        <f t="shared" si="2"/>
        <v xml:space="preserve"> </v>
      </c>
      <c r="S29" s="356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3">
        <f t="shared" si="4"/>
        <v>0</v>
      </c>
      <c r="AB29" s="358">
        <f t="shared" si="5"/>
        <v>0</v>
      </c>
      <c r="AC29" s="359">
        <f t="shared" si="6"/>
        <v>0</v>
      </c>
      <c r="AD29" s="360" t="str">
        <f t="shared" si="7"/>
        <v xml:space="preserve"> </v>
      </c>
      <c r="AE29" s="369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5">
        <f t="shared" si="29"/>
        <v>0</v>
      </c>
      <c r="R30" s="251" t="str">
        <f t="shared" si="2"/>
        <v xml:space="preserve"> </v>
      </c>
      <c r="S30" s="356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3">
        <f t="shared" si="4"/>
        <v>0</v>
      </c>
      <c r="AB30" s="358">
        <f t="shared" si="5"/>
        <v>0</v>
      </c>
      <c r="AC30" s="359">
        <f t="shared" si="6"/>
        <v>0</v>
      </c>
      <c r="AD30" s="360" t="str">
        <f t="shared" si="7"/>
        <v xml:space="preserve"> </v>
      </c>
      <c r="AE30" s="369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0</v>
      </c>
      <c r="AD31" s="362"/>
      <c r="AE31" s="357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/>
      <c r="W32" s="67"/>
      <c r="X32" s="67"/>
      <c r="Y32" s="304"/>
      <c r="Z32" s="150"/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7"/>
      <c r="AP32" s="65"/>
      <c r="AQ32" s="43"/>
      <c r="AR32" s="388"/>
      <c r="AS32" s="186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381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4"/>
      <c r="Z33" s="150"/>
      <c r="AA33" s="43"/>
      <c r="AB33" s="424"/>
      <c r="AE33" s="67"/>
      <c r="AF33" s="43"/>
      <c r="AK33" s="46"/>
      <c r="AL33" s="67"/>
      <c r="AM33" s="385"/>
      <c r="AN33" s="137"/>
      <c r="AO33" s="65"/>
      <c r="AP33" s="389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1"/>
      <c r="C34" s="43"/>
      <c r="D34" s="150"/>
      <c r="E34" s="43"/>
      <c r="F34" s="67"/>
      <c r="G34" s="58"/>
      <c r="H34" s="81"/>
      <c r="N34" s="305" t="s">
        <v>2553</v>
      </c>
      <c r="O34" s="343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1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  <c r="AG37" s="46"/>
      <c r="AJ37" s="67"/>
      <c r="AK37" s="67"/>
      <c r="AN37" s="384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6"/>
      <c r="AP38" s="386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0</v>
      </c>
      <c r="S43" s="353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Zuni Annex  WO#J5104785-00267 </v>
      </c>
      <c r="E1" s="22"/>
      <c r="F1" s="23"/>
      <c r="G1" s="22"/>
      <c r="H1" s="24"/>
      <c r="I1" s="25">
        <f>+'Worksheet 2'!$AR$1</f>
        <v>32990</v>
      </c>
      <c r="J1" s="26"/>
      <c r="L1" s="165" t="s">
        <v>113</v>
      </c>
      <c r="M1" s="21" t="str">
        <f>+'Worksheet 2'!$W$4</f>
        <v xml:space="preserve">Zuni Annex  WO#J5104785-00267 </v>
      </c>
      <c r="N1" s="22"/>
      <c r="O1" s="23"/>
      <c r="P1" s="22"/>
      <c r="Q1" s="24"/>
      <c r="R1" s="25">
        <f>+'Worksheet 2'!$AR$1</f>
        <v>32990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70">
        <f ca="1">H2+15</f>
        <v>15</v>
      </c>
      <c r="G3" s="444" cm="1">
        <f t="array" aca="1" ref="G3" ca="1">INDIRECT("'Worksheet 2'!$Y"&amp;$B1)</f>
        <v>0</v>
      </c>
      <c r="H3" s="444"/>
      <c r="I3" s="445"/>
      <c r="L3" s="165" t="s">
        <v>121</v>
      </c>
      <c r="M3" t="b">
        <f t="shared" ca="1" si="0"/>
        <v>0</v>
      </c>
      <c r="N3" s="19" t="s">
        <v>122</v>
      </c>
      <c r="O3" s="370">
        <f ca="1">F3</f>
        <v>15</v>
      </c>
      <c r="P3" s="446">
        <f ca="1">G3</f>
        <v>0</v>
      </c>
      <c r="Q3" s="446"/>
      <c r="R3" s="447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1"/>
      <c r="G4" s="444"/>
      <c r="H4" s="444"/>
      <c r="I4" s="445"/>
      <c r="L4" s="167"/>
      <c r="M4" s="162" t="b">
        <f t="shared" ca="1" si="0"/>
        <v>0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70" t="str">
        <f ca="1">IF(D9="YES",H2+12," ")</f>
        <v xml:space="preserve"> </v>
      </c>
      <c r="H5" s="344" t="s">
        <v>10</v>
      </c>
      <c r="I5" s="372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70" t="str">
        <f ca="1">F5</f>
        <v xml:space="preserve"> </v>
      </c>
      <c r="P5" s="19"/>
      <c r="Q5" s="344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0</v>
      </c>
      <c r="L6" s="168"/>
      <c r="M6" s="345" t="str">
        <f t="shared" ca="1" si="0"/>
        <v xml:space="preserve"> </v>
      </c>
      <c r="N6" s="346" t="s">
        <v>41</v>
      </c>
      <c r="O6" s="373"/>
      <c r="P6" s="20"/>
      <c r="Q6" s="344" t="s">
        <v>116</v>
      </c>
      <c r="R6" s="32">
        <f ca="1">I6</f>
        <v>0</v>
      </c>
    </row>
    <row r="7" spans="1:18" ht="15" customHeight="1">
      <c r="C7" s="169" t="s">
        <v>114</v>
      </c>
      <c r="D7" s="374" cm="1">
        <f t="array" aca="1" ref="D7" ca="1">INDIRECT("'Worksheet 2'!$B"&amp;$B1)</f>
        <v>0</v>
      </c>
      <c r="E7" s="22"/>
      <c r="F7" s="23"/>
      <c r="G7" s="22"/>
      <c r="H7" s="24"/>
      <c r="I7" s="451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51" t="str">
        <f ca="1">I7</f>
        <v>P2-21</v>
      </c>
    </row>
    <row r="8" spans="1:18" ht="15.75" customHeight="1">
      <c r="C8" s="165" t="s">
        <v>117</v>
      </c>
      <c r="D8" s="347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52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8" cm="1">
        <f t="array" aca="1" ref="E9" ca="1">INDIRECT("'Worksheet 2'!$X"&amp;$B1)</f>
        <v>0</v>
      </c>
      <c r="F9" s="39"/>
      <c r="G9" s="20"/>
      <c r="H9" s="348" t="str" cm="1">
        <f t="array" aca="1" ref="H9" ca="1">INDIRECT("'Worksheet 2'!$R"&amp;$B1)</f>
        <v xml:space="preserve"> </v>
      </c>
      <c r="I9" s="452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2"/>
    </row>
    <row r="10" spans="1:18" ht="15.75" customHeight="1">
      <c r="C10" s="165" t="s">
        <v>13</v>
      </c>
      <c r="D10" s="348" cm="1">
        <f t="array" aca="1" ref="D10" ca="1">INDIRECT("'Worksheet 2'!$W"&amp;$B1)</f>
        <v>0</v>
      </c>
      <c r="E10" s="22"/>
      <c r="F10" s="23"/>
      <c r="G10" s="22"/>
      <c r="H10" s="348" t="str" cm="1">
        <f t="array" aca="1" ref="H10" ca="1">INDIRECT("'Worksheet 2'!$P"&amp;$B1)</f>
        <v xml:space="preserve"> </v>
      </c>
      <c r="I10" s="453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3"/>
    </row>
    <row r="11" spans="1:18" ht="22.8">
      <c r="C11" s="349" cm="1">
        <f t="array" aca="1" ref="C11" ca="1">INDIRECT("'Worksheet 2'!$J"&amp;$B1)</f>
        <v>0</v>
      </c>
      <c r="D11" s="450" t="b" cm="1">
        <f t="array" aca="1" ref="D11" ca="1">IF(INDIRECT("'Worksheet 2'!$D"&amp;$B1)=1, "Left of Pair", IF(INDIRECT("'Worksheet 2'!$E"&amp;$B1)=1, "Panel"))</f>
        <v>0</v>
      </c>
      <c r="E11" s="450"/>
      <c r="F11" s="450"/>
      <c r="G11" s="375"/>
      <c r="H11" s="375" t="str" cm="1">
        <f t="array" aca="1" ref="H11" ca="1">IF(INDIRECT("'Worksheet 2'!$F"&amp;$B1)="st","SOR T&amp;B"," ")</f>
        <v xml:space="preserve"> </v>
      </c>
      <c r="I11" s="376"/>
      <c r="L11" s="41">
        <f ca="1">$C11</f>
        <v>0</v>
      </c>
      <c r="M11" s="450" t="b" cm="1">
        <f t="array" aca="1" ref="M11" ca="1">IF(INDIRECT("'Worksheet 2'!$D"&amp;$B1)=1, "Right of Pair", IF(INDIRECT("'Worksheet 2'!$E"&amp;$B1)=1, "Do Not Use"))</f>
        <v>0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Zuni Annex  WO#J5104785-00267 </v>
      </c>
      <c r="E15" s="22"/>
      <c r="F15" s="23"/>
      <c r="G15" s="22"/>
      <c r="H15" s="24"/>
      <c r="I15" s="25">
        <f>+'Worksheet 2'!$AR$1</f>
        <v>32990</v>
      </c>
      <c r="J15" s="26"/>
      <c r="L15" s="165" t="s">
        <v>113</v>
      </c>
      <c r="M15" s="21" t="str">
        <f>+'Worksheet 2'!$W$4</f>
        <v xml:space="preserve">Zuni Annex  WO#J5104785-00267 </v>
      </c>
      <c r="N15" s="22"/>
      <c r="O15" s="23"/>
      <c r="P15" s="22"/>
      <c r="Q15" s="24"/>
      <c r="R15" s="25">
        <f>+'Worksheet 2'!$AR$1</f>
        <v>32990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70">
        <f ca="1">H16+15</f>
        <v>15</v>
      </c>
      <c r="G17" s="444" cm="1">
        <f t="array" aca="1" ref="G17" ca="1">INDIRECT("'Worksheet 2'!$Y"&amp;$B15)</f>
        <v>0</v>
      </c>
      <c r="H17" s="444"/>
      <c r="I17" s="445"/>
      <c r="L17" s="165" t="s">
        <v>121</v>
      </c>
      <c r="M17" t="b">
        <f t="shared" ca="1" si="1"/>
        <v>0</v>
      </c>
      <c r="N17" s="19" t="s">
        <v>122</v>
      </c>
      <c r="O17" s="370">
        <f ca="1">F17</f>
        <v>15</v>
      </c>
      <c r="P17" s="446">
        <f ca="1">G17</f>
        <v>0</v>
      </c>
      <c r="Q17" s="446"/>
      <c r="R17" s="447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1"/>
      <c r="G18" s="444"/>
      <c r="H18" s="444"/>
      <c r="I18" s="445"/>
      <c r="L18" s="167"/>
      <c r="M18" s="162" t="b">
        <f t="shared" ca="1" si="1"/>
        <v>0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70" t="str">
        <f ca="1">IF(D23="YES",H16+12," ")</f>
        <v xml:space="preserve"> </v>
      </c>
      <c r="H19" s="344" t="s">
        <v>10</v>
      </c>
      <c r="I19" s="372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70" t="str">
        <f ca="1">F19</f>
        <v xml:space="preserve"> </v>
      </c>
      <c r="P19" s="19"/>
      <c r="Q19" s="344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0</v>
      </c>
      <c r="L20" s="168"/>
      <c r="M20" s="345" t="str">
        <f t="shared" ca="1" si="1"/>
        <v xml:space="preserve"> </v>
      </c>
      <c r="N20" s="346" t="s">
        <v>41</v>
      </c>
      <c r="O20" s="373"/>
      <c r="P20" s="20"/>
      <c r="Q20" s="344" t="s">
        <v>116</v>
      </c>
      <c r="R20" s="32">
        <f ca="1">I20</f>
        <v>0</v>
      </c>
    </row>
    <row r="21" spans="1:18" ht="12.75" customHeight="1">
      <c r="C21" s="169" t="s">
        <v>114</v>
      </c>
      <c r="D21" s="374" cm="1">
        <f t="array" aca="1" ref="D21" ca="1">INDIRECT("'Worksheet 2'!$B"&amp;$B15)</f>
        <v>0</v>
      </c>
      <c r="E21" s="22"/>
      <c r="F21" s="23"/>
      <c r="G21" s="22"/>
      <c r="H21" s="24"/>
      <c r="I21" s="451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51" t="str">
        <f ca="1">I21</f>
        <v>P2-22</v>
      </c>
    </row>
    <row r="22" spans="1:18" ht="15.75" customHeight="1">
      <c r="C22" s="165" t="s">
        <v>117</v>
      </c>
      <c r="D22" s="347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52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8" cm="1">
        <f t="array" aca="1" ref="E23" ca="1">INDIRECT("'Worksheet 2'!$X"&amp;$B15)</f>
        <v>0</v>
      </c>
      <c r="F23" s="39"/>
      <c r="G23" s="20"/>
      <c r="H23" s="348" t="str" cm="1">
        <f t="array" aca="1" ref="H23" ca="1">INDIRECT("'Worksheet 2'!$R"&amp;$B15)</f>
        <v xml:space="preserve"> </v>
      </c>
      <c r="I23" s="452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2"/>
    </row>
    <row r="24" spans="1:18" ht="15.75" customHeight="1">
      <c r="C24" s="165" t="s">
        <v>13</v>
      </c>
      <c r="D24" s="348" cm="1">
        <f t="array" aca="1" ref="D24" ca="1">INDIRECT("'Worksheet 2'!$W"&amp;$B15)</f>
        <v>0</v>
      </c>
      <c r="E24" s="22"/>
      <c r="F24" s="23"/>
      <c r="G24" s="22"/>
      <c r="H24" s="348" t="str" cm="1">
        <f t="array" aca="1" ref="H24" ca="1">INDIRECT("'Worksheet 2'!$P"&amp;$B15)</f>
        <v xml:space="preserve"> </v>
      </c>
      <c r="I24" s="453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3"/>
    </row>
    <row r="25" spans="1:18" ht="22.8">
      <c r="C25" s="349" cm="1">
        <f t="array" aca="1" ref="C25" ca="1">INDIRECT("'Worksheet 2'!$J"&amp;$B15)</f>
        <v>0</v>
      </c>
      <c r="D25" s="450" t="b" cm="1">
        <f t="array" aca="1" ref="D25" ca="1">IF(INDIRECT("'Worksheet 2'!$D"&amp;$B15)=1, "Left of Pair", IF(INDIRECT("'Worksheet 2'!$E"&amp;$B15)=1, "Panel"))</f>
        <v>0</v>
      </c>
      <c r="E25" s="450"/>
      <c r="F25" s="450"/>
      <c r="G25" s="375"/>
      <c r="H25" s="375" t="str" cm="1">
        <f t="array" aca="1" ref="H25" ca="1">IF(INDIRECT("'Worksheet 2'!$F"&amp;$B15)="st","SOR T&amp;B"," ")</f>
        <v xml:space="preserve"> </v>
      </c>
      <c r="I25" s="376"/>
      <c r="L25" s="41">
        <f ca="1">$C25</f>
        <v>0</v>
      </c>
      <c r="M25" s="450" t="b" cm="1">
        <f t="array" aca="1" ref="M25" ca="1">IF(INDIRECT("'Worksheet 2'!$D"&amp;$B15)=1, "Right of Pair", IF(INDIRECT("'Worksheet 2'!$E"&amp;$B15)=1, "Do Not Use"))</f>
        <v>0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Zuni Annex  WO#J5104785-00267 </v>
      </c>
      <c r="E29" s="22"/>
      <c r="F29" s="23"/>
      <c r="G29" s="22"/>
      <c r="H29" s="24"/>
      <c r="I29" s="25">
        <f>+'Worksheet 2'!$AR$1</f>
        <v>32990</v>
      </c>
      <c r="J29" s="26"/>
      <c r="L29" s="165" t="s">
        <v>113</v>
      </c>
      <c r="M29" s="21" t="str">
        <f>+'Worksheet 2'!$W$4</f>
        <v xml:space="preserve">Zuni Annex  WO#J5104785-00267 </v>
      </c>
      <c r="N29" s="22"/>
      <c r="O29" s="23"/>
      <c r="P29" s="22"/>
      <c r="Q29" s="24"/>
      <c r="R29" s="25">
        <f>+'Worksheet 2'!$AR$1</f>
        <v>32990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70">
        <f ca="1">H30+15</f>
        <v>15</v>
      </c>
      <c r="G31" s="444" cm="1">
        <f t="array" aca="1" ref="G31" ca="1">INDIRECT("'Worksheet 2'!$Y"&amp;$B29)</f>
        <v>0</v>
      </c>
      <c r="H31" s="444"/>
      <c r="I31" s="445"/>
      <c r="L31" s="165" t="s">
        <v>121</v>
      </c>
      <c r="M31" t="b">
        <f t="shared" ca="1" si="2"/>
        <v>0</v>
      </c>
      <c r="N31" s="19" t="s">
        <v>122</v>
      </c>
      <c r="O31" s="370">
        <f ca="1">F31</f>
        <v>15</v>
      </c>
      <c r="P31" s="446">
        <f ca="1">G31</f>
        <v>0</v>
      </c>
      <c r="Q31" s="446"/>
      <c r="R31" s="447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1"/>
      <c r="G32" s="444"/>
      <c r="H32" s="444"/>
      <c r="I32" s="445"/>
      <c r="L32" s="167"/>
      <c r="M32" s="162" t="b">
        <f t="shared" ca="1" si="2"/>
        <v>0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70" t="str">
        <f ca="1">IF(D37="YES",H30+12," ")</f>
        <v xml:space="preserve"> </v>
      </c>
      <c r="H33" s="344" t="s">
        <v>10</v>
      </c>
      <c r="I33" s="372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70" t="str">
        <f ca="1">F33</f>
        <v xml:space="preserve"> </v>
      </c>
      <c r="P33" s="19"/>
      <c r="Q33" s="344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0</v>
      </c>
      <c r="L34" s="168"/>
      <c r="M34" s="345" t="str">
        <f t="shared" ca="1" si="2"/>
        <v xml:space="preserve"> </v>
      </c>
      <c r="N34" s="346" t="s">
        <v>41</v>
      </c>
      <c r="O34" s="373"/>
      <c r="P34" s="20"/>
      <c r="Q34" s="344" t="s">
        <v>116</v>
      </c>
      <c r="R34" s="32">
        <f ca="1">I34</f>
        <v>0</v>
      </c>
    </row>
    <row r="35" spans="1:18" ht="12.75" customHeight="1">
      <c r="C35" s="169" t="s">
        <v>114</v>
      </c>
      <c r="D35" s="374" cm="1">
        <f t="array" aca="1" ref="D35" ca="1">INDIRECT("'Worksheet 2'!$B"&amp;$B29)</f>
        <v>0</v>
      </c>
      <c r="E35" s="22"/>
      <c r="F35" s="23"/>
      <c r="G35" s="22"/>
      <c r="H35" s="24"/>
      <c r="I35" s="451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51" t="str">
        <f ca="1">I35</f>
        <v>P2-23</v>
      </c>
    </row>
    <row r="36" spans="1:18" ht="15.75" customHeight="1">
      <c r="C36" s="165" t="s">
        <v>117</v>
      </c>
      <c r="D36" s="347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52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8" cm="1">
        <f t="array" aca="1" ref="E37" ca="1">INDIRECT("'Worksheet 2'!$X"&amp;$B29)</f>
        <v>0</v>
      </c>
      <c r="F37" s="39"/>
      <c r="G37" s="20"/>
      <c r="H37" s="348" t="str" cm="1">
        <f t="array" aca="1" ref="H37" ca="1">INDIRECT("'Worksheet 2'!$R"&amp;$B29)</f>
        <v xml:space="preserve"> </v>
      </c>
      <c r="I37" s="452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2"/>
    </row>
    <row r="38" spans="1:18" ht="15.75" customHeight="1">
      <c r="C38" s="165" t="s">
        <v>13</v>
      </c>
      <c r="D38" s="348" cm="1">
        <f t="array" aca="1" ref="D38" ca="1">INDIRECT("'Worksheet 2'!$W"&amp;$B29)</f>
        <v>0</v>
      </c>
      <c r="E38" s="22"/>
      <c r="F38" s="23"/>
      <c r="G38" s="22"/>
      <c r="H38" s="348" t="str" cm="1">
        <f t="array" aca="1" ref="H38" ca="1">INDIRECT("'Worksheet 2'!$P"&amp;$B29)</f>
        <v xml:space="preserve"> </v>
      </c>
      <c r="I38" s="453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3"/>
    </row>
    <row r="39" spans="1:18" ht="20.25" customHeight="1">
      <c r="C39" s="349" cm="1">
        <f t="array" aca="1" ref="C39" ca="1">INDIRECT("'Worksheet 2'!$J"&amp;$B29)</f>
        <v>0</v>
      </c>
      <c r="D39" s="450" t="b" cm="1">
        <f t="array" aca="1" ref="D39" ca="1">IF(INDIRECT("'Worksheet 2'!$D"&amp;$B29)=1, "Left of Pair", IF(INDIRECT("'Worksheet 2'!$E"&amp;$B29)=1, "Panel"))</f>
        <v>0</v>
      </c>
      <c r="E39" s="450"/>
      <c r="F39" s="450"/>
      <c r="G39" s="375"/>
      <c r="H39" s="375" t="str" cm="1">
        <f t="array" aca="1" ref="H39" ca="1">IF(INDIRECT("'Worksheet 2'!$F"&amp;$B29)="st","SOR T&amp;B"," ")</f>
        <v xml:space="preserve"> </v>
      </c>
      <c r="I39" s="376"/>
      <c r="L39" s="41">
        <f ca="1">$C39</f>
        <v>0</v>
      </c>
      <c r="M39" s="450" t="b" cm="1">
        <f t="array" aca="1" ref="M39" ca="1">IF(INDIRECT("'Worksheet 2'!$D"&amp;$B29)=1, "Right of Pair", IF(INDIRECT("'Worksheet 2'!$E"&amp;$B29)=1, "Do Not Use"))</f>
        <v>0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+'Worksheet 2'!$W$4</f>
        <v xml:space="preserve">Zuni Annex  WO#J5104785-00267 </v>
      </c>
      <c r="E43" s="22"/>
      <c r="F43" s="23"/>
      <c r="G43" s="22"/>
      <c r="H43" s="24"/>
      <c r="I43" s="25">
        <f>+'Worksheet 2'!$AR$1</f>
        <v>32990</v>
      </c>
      <c r="J43" s="26"/>
      <c r="L43" s="165" t="s">
        <v>113</v>
      </c>
      <c r="M43" s="21" t="str">
        <f>+'Worksheet 2'!$W$4</f>
        <v xml:space="preserve">Zuni Annex  WO#J5104785-00267 </v>
      </c>
      <c r="N43" s="22"/>
      <c r="O43" s="23"/>
      <c r="P43" s="22"/>
      <c r="Q43" s="24"/>
      <c r="R43" s="25">
        <f>+'Worksheet 2'!$AR$1</f>
        <v>32990</v>
      </c>
    </row>
    <row r="44" spans="1:18" ht="31.8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70">
        <f ca="1">H44+15</f>
        <v>15</v>
      </c>
      <c r="G45" s="444" cm="1">
        <f t="array" aca="1" ref="G45" ca="1">INDIRECT("'Worksheet 2'!$Y"&amp;$B43)</f>
        <v>0</v>
      </c>
      <c r="H45" s="444"/>
      <c r="I45" s="445"/>
      <c r="L45" s="165" t="s">
        <v>121</v>
      </c>
      <c r="M45" t="b">
        <f t="shared" ca="1" si="3"/>
        <v>0</v>
      </c>
      <c r="N45" s="19" t="s">
        <v>122</v>
      </c>
      <c r="O45" s="370">
        <f ca="1">F45</f>
        <v>15</v>
      </c>
      <c r="P45" s="446">
        <f ca="1">G45</f>
        <v>0</v>
      </c>
      <c r="Q45" s="446"/>
      <c r="R45" s="447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1"/>
      <c r="G46" s="444"/>
      <c r="H46" s="444"/>
      <c r="I46" s="445"/>
      <c r="L46" s="167"/>
      <c r="M46" s="162" t="b">
        <f t="shared" ca="1" si="3"/>
        <v>0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70" t="str">
        <f ca="1">IF(D51="YES",H44+12," ")</f>
        <v xml:space="preserve"> </v>
      </c>
      <c r="H47" s="344" t="s">
        <v>10</v>
      </c>
      <c r="I47" s="372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70" t="str">
        <f ca="1">F47</f>
        <v xml:space="preserve"> </v>
      </c>
      <c r="P47" s="19"/>
      <c r="Q47" s="344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0</v>
      </c>
      <c r="L48" s="168"/>
      <c r="M48" s="345" t="str">
        <f t="shared" ca="1" si="3"/>
        <v xml:space="preserve"> </v>
      </c>
      <c r="N48" s="346" t="s">
        <v>41</v>
      </c>
      <c r="O48" s="373"/>
      <c r="P48" s="20"/>
      <c r="Q48" s="344" t="s">
        <v>116</v>
      </c>
      <c r="R48" s="32">
        <f ca="1">I48</f>
        <v>0</v>
      </c>
    </row>
    <row r="49" spans="1:18" ht="12.75" customHeight="1">
      <c r="C49" s="169" t="s">
        <v>114</v>
      </c>
      <c r="D49" s="374" cm="1">
        <f t="array" aca="1" ref="D49" ca="1">INDIRECT("'Worksheet 2'!$B"&amp;$B43)</f>
        <v>0</v>
      </c>
      <c r="E49" s="22"/>
      <c r="F49" s="23"/>
      <c r="G49" s="22"/>
      <c r="H49" s="24"/>
      <c r="I49" s="451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51" t="str">
        <f ca="1">I49</f>
        <v>P2-24</v>
      </c>
    </row>
    <row r="50" spans="1:18" ht="15.75" customHeight="1">
      <c r="C50" s="165" t="s">
        <v>117</v>
      </c>
      <c r="D50" s="347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52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8" cm="1">
        <f t="array" aca="1" ref="E51" ca="1">INDIRECT("'Worksheet 2'!$X"&amp;$B43)</f>
        <v>0</v>
      </c>
      <c r="F51" s="39"/>
      <c r="G51" s="20"/>
      <c r="H51" s="348" t="str" cm="1">
        <f t="array" aca="1" ref="H51" ca="1">INDIRECT("'Worksheet 2'!$R"&amp;$B43)</f>
        <v xml:space="preserve"> </v>
      </c>
      <c r="I51" s="452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2"/>
    </row>
    <row r="52" spans="1:18" ht="15.75" customHeight="1">
      <c r="C52" s="165" t="s">
        <v>13</v>
      </c>
      <c r="D52" s="348" cm="1">
        <f t="array" aca="1" ref="D52" ca="1">INDIRECT("'Worksheet 2'!$W"&amp;$B43)</f>
        <v>0</v>
      </c>
      <c r="E52" s="22"/>
      <c r="F52" s="23"/>
      <c r="G52" s="22"/>
      <c r="H52" s="348" t="str" cm="1">
        <f t="array" aca="1" ref="H52" ca="1">INDIRECT("'Worksheet 2'!$P"&amp;$B43)</f>
        <v xml:space="preserve"> </v>
      </c>
      <c r="I52" s="453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3"/>
    </row>
    <row r="53" spans="1:18" ht="22.8">
      <c r="C53" s="349" cm="1">
        <f t="array" aca="1" ref="C53" ca="1">INDIRECT("'Worksheet 2'!$J"&amp;$B43)</f>
        <v>0</v>
      </c>
      <c r="D53" s="450" t="b" cm="1">
        <f t="array" aca="1" ref="D53" ca="1">IF(INDIRECT("'Worksheet 2'!$D"&amp;$B43)=1, "Left of Pair", IF(INDIRECT("'Worksheet 2'!$E"&amp;$B43)=1, "Panel"))</f>
        <v>0</v>
      </c>
      <c r="E53" s="450"/>
      <c r="F53" s="450"/>
      <c r="G53" s="375"/>
      <c r="H53" s="375" t="str" cm="1">
        <f t="array" aca="1" ref="H53" ca="1">IF(INDIRECT("'Worksheet 2'!$F"&amp;$B43)="st","SOR T&amp;B"," ")</f>
        <v xml:space="preserve"> </v>
      </c>
      <c r="I53" s="376"/>
      <c r="L53" s="41">
        <f ca="1">$C53</f>
        <v>0</v>
      </c>
      <c r="M53" s="450" t="b" cm="1">
        <f t="array" aca="1" ref="M53" ca="1">IF(INDIRECT("'Worksheet 2'!$D"&amp;$B43)=1, "Right of Pair", IF(INDIRECT("'Worksheet 2'!$E"&amp;$B43)=1, "Do Not Use"))</f>
        <v>0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+'Worksheet 2'!$W$4</f>
        <v xml:space="preserve">Zuni Annex  WO#J5104785-00267 </v>
      </c>
      <c r="E55" s="22"/>
      <c r="F55" s="23"/>
      <c r="G55" s="22"/>
      <c r="H55" s="24"/>
      <c r="I55" s="25">
        <f>+'Worksheet 2'!$AR$1</f>
        <v>32990</v>
      </c>
      <c r="J55" s="26"/>
      <c r="L55" s="165" t="s">
        <v>113</v>
      </c>
      <c r="M55" s="21" t="str">
        <f>+'Worksheet 2'!$W$4</f>
        <v xml:space="preserve">Zuni Annex  WO#J5104785-00267 </v>
      </c>
      <c r="N55" s="22"/>
      <c r="O55" s="23"/>
      <c r="P55" s="22"/>
      <c r="Q55" s="24"/>
      <c r="R55" s="25">
        <f>+'Worksheet 2'!$AR$1</f>
        <v>32990</v>
      </c>
    </row>
    <row r="56" spans="1:18" ht="31.8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70">
        <f ca="1">H56+15</f>
        <v>15</v>
      </c>
      <c r="G57" s="444" cm="1">
        <f t="array" aca="1" ref="G57" ca="1">INDIRECT("'Worksheet 2'!$Y"&amp;$B55)</f>
        <v>0</v>
      </c>
      <c r="H57" s="444"/>
      <c r="I57" s="445"/>
      <c r="L57" s="165" t="s">
        <v>121</v>
      </c>
      <c r="M57" t="b">
        <f t="shared" ca="1" si="4"/>
        <v>0</v>
      </c>
      <c r="N57" s="19" t="s">
        <v>122</v>
      </c>
      <c r="O57" s="370">
        <f ca="1">F57</f>
        <v>15</v>
      </c>
      <c r="P57" s="446">
        <f ca="1">G57</f>
        <v>0</v>
      </c>
      <c r="Q57" s="446"/>
      <c r="R57" s="447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1"/>
      <c r="G58" s="444"/>
      <c r="H58" s="444"/>
      <c r="I58" s="445"/>
      <c r="L58" s="167"/>
      <c r="M58" s="162" t="b">
        <f t="shared" ca="1" si="4"/>
        <v>0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70" t="str">
        <f ca="1">IF(D63="YES",H56+12," ")</f>
        <v xml:space="preserve"> </v>
      </c>
      <c r="H59" s="344" t="s">
        <v>10</v>
      </c>
      <c r="I59" s="372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70" t="str">
        <f ca="1">F59</f>
        <v xml:space="preserve"> </v>
      </c>
      <c r="P59" s="19"/>
      <c r="Q59" s="344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0</v>
      </c>
      <c r="L60" s="168"/>
      <c r="M60" s="345" t="str">
        <f t="shared" ca="1" si="4"/>
        <v xml:space="preserve"> </v>
      </c>
      <c r="N60" s="346" t="s">
        <v>41</v>
      </c>
      <c r="O60" s="373"/>
      <c r="P60" s="20"/>
      <c r="Q60" s="344" t="s">
        <v>116</v>
      </c>
      <c r="R60" s="32">
        <f ca="1">I60</f>
        <v>0</v>
      </c>
    </row>
    <row r="61" spans="1:18" ht="12.75" customHeight="1">
      <c r="C61" s="169" t="s">
        <v>114</v>
      </c>
      <c r="D61" s="374" cm="1">
        <f t="array" aca="1" ref="D61" ca="1">INDIRECT("'Worksheet 2'!$B"&amp;$B55)</f>
        <v>0</v>
      </c>
      <c r="E61" s="22"/>
      <c r="F61" s="23"/>
      <c r="G61" s="22"/>
      <c r="H61" s="24"/>
      <c r="I61" s="451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51" t="str">
        <f ca="1">I61</f>
        <v>P2-25</v>
      </c>
    </row>
    <row r="62" spans="1:18" ht="15.75" customHeight="1">
      <c r="C62" s="165" t="s">
        <v>117</v>
      </c>
      <c r="D62" s="347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52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8" cm="1">
        <f t="array" aca="1" ref="E63" ca="1">INDIRECT("'Worksheet 2'!$X"&amp;$B55)</f>
        <v>0</v>
      </c>
      <c r="F63" s="39"/>
      <c r="G63" s="20"/>
      <c r="H63" s="348" t="str" cm="1">
        <f t="array" aca="1" ref="H63" ca="1">INDIRECT("'Worksheet 2'!$R"&amp;$B55)</f>
        <v xml:space="preserve"> </v>
      </c>
      <c r="I63" s="452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2"/>
    </row>
    <row r="64" spans="1:18" ht="15.75" customHeight="1">
      <c r="C64" s="165" t="s">
        <v>13</v>
      </c>
      <c r="D64" s="348" cm="1">
        <f t="array" aca="1" ref="D64" ca="1">INDIRECT("'Worksheet 2'!$W"&amp;$B55)</f>
        <v>0</v>
      </c>
      <c r="E64" s="22"/>
      <c r="F64" s="23"/>
      <c r="G64" s="22"/>
      <c r="H64" s="348" t="str" cm="1">
        <f t="array" aca="1" ref="H64" ca="1">INDIRECT("'Worksheet 2'!$P"&amp;$B55)</f>
        <v xml:space="preserve"> </v>
      </c>
      <c r="I64" s="453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3"/>
    </row>
    <row r="65" spans="1:18" ht="22.8">
      <c r="C65" s="349" cm="1">
        <f t="array" aca="1" ref="C65" ca="1">INDIRECT("'Worksheet 2'!$J"&amp;$B55)</f>
        <v>0</v>
      </c>
      <c r="D65" s="450" t="b" cm="1">
        <f t="array" aca="1" ref="D65" ca="1">IF(INDIRECT("'Worksheet 2'!$D"&amp;$B55)=1, "Left of Pair", IF(INDIRECT("'Worksheet 2'!$E"&amp;$B55)=1, "Panel"))</f>
        <v>0</v>
      </c>
      <c r="E65" s="450"/>
      <c r="F65" s="450"/>
      <c r="G65" s="375"/>
      <c r="H65" s="375" t="str" cm="1">
        <f t="array" aca="1" ref="H65" ca="1">IF(INDIRECT("'Worksheet 2'!$F"&amp;$B55)="st","SOR T&amp;B"," ")</f>
        <v xml:space="preserve"> </v>
      </c>
      <c r="I65" s="376"/>
      <c r="L65" s="41">
        <f ca="1">$C65</f>
        <v>0</v>
      </c>
      <c r="M65" s="450" t="b" cm="1">
        <f t="array" aca="1" ref="M65" ca="1">IF(INDIRECT("'Worksheet 2'!$D"&amp;$B55)=1, "Right of Pair", IF(INDIRECT("'Worksheet 2'!$E"&amp;$B55)=1, "Do Not Use"))</f>
        <v>0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+'Worksheet 2'!$W$4</f>
        <v xml:space="preserve">Zuni Annex  WO#J5104785-00267 </v>
      </c>
      <c r="E69" s="22"/>
      <c r="F69" s="23"/>
      <c r="G69" s="22"/>
      <c r="H69" s="24"/>
      <c r="I69" s="25">
        <f>+'Worksheet 2'!$AR$1</f>
        <v>32990</v>
      </c>
      <c r="J69" s="26"/>
      <c r="L69" s="165" t="s">
        <v>113</v>
      </c>
      <c r="M69" s="21" t="str">
        <f>+'Worksheet 2'!$W$4</f>
        <v xml:space="preserve">Zuni Annex  WO#J5104785-00267 </v>
      </c>
      <c r="N69" s="22"/>
      <c r="O69" s="23"/>
      <c r="P69" s="22"/>
      <c r="Q69" s="24"/>
      <c r="R69" s="25">
        <f>+'Worksheet 2'!$AR$1</f>
        <v>32990</v>
      </c>
    </row>
    <row r="70" spans="1:18" ht="31.8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70">
        <f ca="1">H70+15</f>
        <v>15</v>
      </c>
      <c r="G71" s="444" cm="1">
        <f t="array" aca="1" ref="G71" ca="1">INDIRECT("'Worksheet 2'!$Y"&amp;$B69)</f>
        <v>0</v>
      </c>
      <c r="H71" s="444"/>
      <c r="I71" s="445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1"/>
      <c r="G72" s="444"/>
      <c r="H72" s="444"/>
      <c r="I72" s="445"/>
      <c r="L72" s="167"/>
      <c r="M72" s="162" t="b">
        <f t="shared" ca="1" si="5"/>
        <v>0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0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0</v>
      </c>
    </row>
    <row r="75" spans="1:18" ht="12.75" customHeight="1">
      <c r="C75" s="169" t="s">
        <v>114</v>
      </c>
      <c r="D75" s="374" cm="1">
        <f t="array" aca="1" ref="D75" ca="1">INDIRECT("'Worksheet 2'!$B"&amp;$B69)</f>
        <v>0</v>
      </c>
      <c r="E75" s="22"/>
      <c r="F75" s="23"/>
      <c r="G75" s="22"/>
      <c r="H75" s="24"/>
      <c r="I75" s="451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51" t="str">
        <f ca="1">I75</f>
        <v>P2-26</v>
      </c>
    </row>
    <row r="76" spans="1:18" ht="15.75" customHeight="1">
      <c r="C76" s="165" t="s">
        <v>117</v>
      </c>
      <c r="D76" s="347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52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 2'!$X"&amp;$B69)</f>
        <v>0</v>
      </c>
      <c r="F77" s="39"/>
      <c r="G77" s="20"/>
      <c r="H77" s="348" t="str" cm="1">
        <f t="array" aca="1" ref="H77" ca="1">INDIRECT("'Worksheet 2'!$R"&amp;$B69)</f>
        <v xml:space="preserve"> </v>
      </c>
      <c r="I77" s="452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2"/>
    </row>
    <row r="78" spans="1:18" ht="15.75" customHeight="1">
      <c r="C78" s="165" t="s">
        <v>13</v>
      </c>
      <c r="D78" s="348" cm="1">
        <f t="array" aca="1" ref="D78" ca="1">INDIRECT("'Worksheet 2'!$W"&amp;$B69)</f>
        <v>0</v>
      </c>
      <c r="E78" s="22"/>
      <c r="F78" s="23"/>
      <c r="G78" s="22"/>
      <c r="H78" s="348" t="str" cm="1">
        <f t="array" aca="1" ref="H78" ca="1">INDIRECT("'Worksheet 2'!$P"&amp;$B69)</f>
        <v xml:space="preserve"> </v>
      </c>
      <c r="I78" s="453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3"/>
    </row>
    <row r="79" spans="1:18" ht="22.8">
      <c r="C79" s="349" cm="1">
        <f t="array" aca="1" ref="C79" ca="1">INDIRECT("'Worksheet 2'!$J"&amp;$B69)</f>
        <v>0</v>
      </c>
      <c r="D79" s="450" t="b" cm="1">
        <f t="array" aca="1" ref="D79" ca="1">IF(INDIRECT("'Worksheet 2'!$D"&amp;$B69)=1, "Left of Pair", IF(INDIRECT("'Worksheet 2'!$E"&amp;$B69)=1, "Panel"))</f>
        <v>0</v>
      </c>
      <c r="E79" s="450"/>
      <c r="F79" s="450"/>
      <c r="G79" s="375"/>
      <c r="H79" s="375" t="str" cm="1">
        <f t="array" aca="1" ref="H79" ca="1">IF(INDIRECT("'Worksheet 2'!$F"&amp;$B69)="st","SOR T&amp;B"," ")</f>
        <v xml:space="preserve"> </v>
      </c>
      <c r="I79" s="376"/>
      <c r="L79" s="41">
        <f ca="1">$C79</f>
        <v>0</v>
      </c>
      <c r="M79" s="450" t="b" cm="1">
        <f t="array" aca="1" ref="M79" ca="1">IF(INDIRECT("'Worksheet 2'!$D"&amp;$B69)=1, "Right of Pair", IF(INDIRECT("'Worksheet 2'!$E"&amp;$B69)=1, "Do Not Use"))</f>
        <v>0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+'Worksheet 2'!$W$4</f>
        <v xml:space="preserve">Zuni Annex  WO#J5104785-00267 </v>
      </c>
      <c r="E83" s="22"/>
      <c r="F83" s="23"/>
      <c r="G83" s="22"/>
      <c r="H83" s="24"/>
      <c r="I83" s="25">
        <f>+'Worksheet 2'!$AR$1</f>
        <v>32990</v>
      </c>
      <c r="J83" s="26"/>
      <c r="L83" s="165" t="s">
        <v>113</v>
      </c>
      <c r="M83" s="21" t="str">
        <f>+'Worksheet 2'!$W$4</f>
        <v xml:space="preserve">Zuni Annex  WO#J5104785-00267 </v>
      </c>
      <c r="N83" s="22"/>
      <c r="O83" s="23"/>
      <c r="P83" s="22"/>
      <c r="Q83" s="24"/>
      <c r="R83" s="25">
        <f>+'Worksheet 2'!$AR$1</f>
        <v>32990</v>
      </c>
    </row>
    <row r="84" spans="1:18" ht="31.8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70">
        <f ca="1">H84+15</f>
        <v>15</v>
      </c>
      <c r="G85" s="444" cm="1">
        <f t="array" aca="1" ref="G85" ca="1">INDIRECT("'Worksheet 2'!$Y"&amp;$B83)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1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0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0</v>
      </c>
    </row>
    <row r="89" spans="1:18" ht="12.75" customHeight="1">
      <c r="C89" s="169" t="s">
        <v>114</v>
      </c>
      <c r="D89" s="374" cm="1">
        <f t="array" aca="1" ref="D89" ca="1">INDIRECT("'Worksheet 2'!$B"&amp;$B83)</f>
        <v>0</v>
      </c>
      <c r="E89" s="22"/>
      <c r="F89" s="23"/>
      <c r="G89" s="22"/>
      <c r="H89" s="24"/>
      <c r="I89" s="451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P2-27</v>
      </c>
    </row>
    <row r="90" spans="1:18" ht="15.75" customHeight="1">
      <c r="C90" s="165" t="s">
        <v>117</v>
      </c>
      <c r="D90" s="347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 2'!$X"&amp;$B83)</f>
        <v>0</v>
      </c>
      <c r="F91" s="39"/>
      <c r="G91" s="20"/>
      <c r="H91" s="348" t="str" cm="1">
        <f t="array" aca="1" ref="H91" ca="1">INDIRECT("'Worksheet 2'!$R"&amp;$B83)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2"/>
    </row>
    <row r="92" spans="1:18" ht="15.75" customHeight="1">
      <c r="C92" s="165" t="s">
        <v>13</v>
      </c>
      <c r="D92" s="348" cm="1">
        <f t="array" aca="1" ref="D92" ca="1">INDIRECT("'Worksheet 2'!$W"&amp;$B83)</f>
        <v>0</v>
      </c>
      <c r="E92" s="22"/>
      <c r="F92" s="23"/>
      <c r="G92" s="22"/>
      <c r="H92" s="348" t="str" cm="1">
        <f t="array" aca="1" ref="H92" ca="1">INDIRECT("'Worksheet 2'!$P"&amp;$B83)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3"/>
    </row>
    <row r="93" spans="1:18" ht="22.8">
      <c r="C93" s="349" cm="1">
        <f t="array" aca="1" ref="C93" ca="1">INDIRECT("'Worksheet 2'!$J"&amp;$B83)</f>
        <v>0</v>
      </c>
      <c r="D93" s="450" t="b" cm="1">
        <f t="array" aca="1" ref="D93" ca="1">IF(INDIRECT("'Worksheet 2'!$D"&amp;$B83)=1, "Left of Pair", IF(INDIRECT("'Worksheet 2'!$E"&amp;$B83)=1, "Panel"))</f>
        <v>0</v>
      </c>
      <c r="E93" s="450"/>
      <c r="F93" s="450"/>
      <c r="G93" s="375"/>
      <c r="H93" s="375" t="str" cm="1">
        <f t="array" aca="1" ref="H93" ca="1">IF(INDIRECT("'Worksheet 2'!$F"&amp;$B83)="st","SOR T&amp;B"," ")</f>
        <v xml:space="preserve"> </v>
      </c>
      <c r="I93" s="376"/>
      <c r="L93" s="41">
        <f ca="1">$C93</f>
        <v>0</v>
      </c>
      <c r="M93" s="450" t="b" cm="1">
        <f t="array" aca="1" ref="M93" ca="1">IF(INDIRECT("'Worksheet 2'!$D"&amp;$B83)=1, "Right of Pair", IF(INDIRECT("'Worksheet 2'!$E"&amp;$B83)=1, "Do Not Use"))</f>
        <v>0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+'Worksheet 2'!$W$4</f>
        <v xml:space="preserve">Zuni Annex  WO#J5104785-00267 </v>
      </c>
      <c r="E97" s="22"/>
      <c r="F97" s="23"/>
      <c r="G97" s="22"/>
      <c r="H97" s="24"/>
      <c r="I97" s="25">
        <f>+'Worksheet 2'!$AR$1</f>
        <v>32990</v>
      </c>
      <c r="J97" s="26"/>
      <c r="L97" s="165" t="s">
        <v>113</v>
      </c>
      <c r="M97" s="21" t="str">
        <f>+'Worksheet 2'!$W$4</f>
        <v xml:space="preserve">Zuni Annex  WO#J5104785-00267 </v>
      </c>
      <c r="N97" s="22"/>
      <c r="O97" s="23"/>
      <c r="P97" s="22"/>
      <c r="Q97" s="24"/>
      <c r="R97" s="25">
        <f>+'Worksheet 2'!$AR$1</f>
        <v>32990</v>
      </c>
    </row>
    <row r="98" spans="1:18" ht="31.8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 2'!$Y"&amp;$B97)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0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0</v>
      </c>
    </row>
    <row r="103" spans="1:18" ht="12.75" customHeight="1">
      <c r="C103" s="169" t="s">
        <v>114</v>
      </c>
      <c r="D103" s="374" cm="1">
        <f t="array" aca="1" ref="D103" ca="1">INDIRECT("'Worksheet 2'!$B"&amp;$B97)</f>
        <v>0</v>
      </c>
      <c r="E103" s="22"/>
      <c r="F103" s="23"/>
      <c r="G103" s="22"/>
      <c r="H103" s="24"/>
      <c r="I103" s="451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P2-28</v>
      </c>
    </row>
    <row r="104" spans="1:18" ht="15.75" customHeight="1">
      <c r="C104" s="165" t="s">
        <v>117</v>
      </c>
      <c r="D104" s="347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 2'!$X"&amp;$B97)</f>
        <v>0</v>
      </c>
      <c r="F105" s="39"/>
      <c r="G105" s="20"/>
      <c r="H105" s="348" t="str" cm="1">
        <f t="array" aca="1" ref="H105" ca="1">INDIRECT("'Worksheet 2'!$R"&amp;$B97)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 2'!$W"&amp;$B97)</f>
        <v>0</v>
      </c>
      <c r="E106" s="22"/>
      <c r="F106" s="23"/>
      <c r="G106" s="22"/>
      <c r="H106" s="348" t="str" cm="1">
        <f t="array" aca="1" ref="H106" ca="1">INDIRECT("'Worksheet 2'!$P"&amp;$B97)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3"/>
    </row>
    <row r="107" spans="1:18" ht="22.8">
      <c r="C107" s="349" cm="1">
        <f t="array" aca="1" ref="C107" ca="1">INDIRECT("'Worksheet 2'!$J"&amp;$B97)</f>
        <v>0</v>
      </c>
      <c r="D107" s="450" t="b" cm="1">
        <f t="array" aca="1" ref="D107" ca="1">IF(INDIRECT("'Worksheet 2'!$D"&amp;$B97)=1, "Left of Pair", IF(INDIRECT("'Worksheet 2'!$E"&amp;$B97)=1, "Panel"))</f>
        <v>0</v>
      </c>
      <c r="E107" s="450"/>
      <c r="F107" s="450"/>
      <c r="G107" s="375"/>
      <c r="H107" s="375" t="str" cm="1">
        <f t="array" aca="1" ref="H107" ca="1">IF(INDIRECT("'Worksheet 2'!$F"&amp;$B97)="st","SOR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 2'!$D"&amp;$B97)=1, "Right of Pair", IF(INDIRECT("'Worksheet 2'!$E"&amp;$B97)=1,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+'Worksheet 2'!$W$4</f>
        <v xml:space="preserve">Zuni Annex  WO#J5104785-00267 </v>
      </c>
      <c r="E109" s="22"/>
      <c r="F109" s="23"/>
      <c r="G109" s="22"/>
      <c r="H109" s="24"/>
      <c r="I109" s="25">
        <f>+'Worksheet 2'!$AR$1</f>
        <v>32990</v>
      </c>
      <c r="J109" s="26"/>
      <c r="L109" s="165" t="s">
        <v>113</v>
      </c>
      <c r="M109" s="21" t="str">
        <f>+'Worksheet 2'!$W$4</f>
        <v xml:space="preserve">Zuni Annex  WO#J5104785-00267 </v>
      </c>
      <c r="N109" s="22"/>
      <c r="O109" s="23"/>
      <c r="P109" s="22"/>
      <c r="Q109" s="24"/>
      <c r="R109" s="25">
        <f>+'Worksheet 2'!$AR$1</f>
        <v>32990</v>
      </c>
    </row>
    <row r="110" spans="1:18" ht="31.8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 2'!$Y"&amp;$B109)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0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0</v>
      </c>
    </row>
    <row r="115" spans="1:18" ht="12.75" customHeight="1">
      <c r="C115" s="169" t="s">
        <v>114</v>
      </c>
      <c r="D115" s="374" cm="1">
        <f t="array" aca="1" ref="D115" ca="1">INDIRECT("'Worksheet 2'!$B"&amp;$B109)</f>
        <v>0</v>
      </c>
      <c r="E115" s="22"/>
      <c r="F115" s="23"/>
      <c r="G115" s="22"/>
      <c r="H115" s="24"/>
      <c r="I115" s="451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P2-29</v>
      </c>
    </row>
    <row r="116" spans="1:18" ht="15.75" customHeight="1">
      <c r="C116" s="165" t="s">
        <v>117</v>
      </c>
      <c r="D116" s="347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 2'!$X"&amp;$B109)</f>
        <v>0</v>
      </c>
      <c r="F117" s="39"/>
      <c r="G117" s="20"/>
      <c r="H117" s="348" t="str" cm="1">
        <f t="array" aca="1" ref="H117" ca="1">INDIRECT("'Worksheet 2'!$R"&amp;$B109)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 2'!$W"&amp;$B109)</f>
        <v>0</v>
      </c>
      <c r="E118" s="22"/>
      <c r="F118" s="23"/>
      <c r="G118" s="22"/>
      <c r="H118" s="348" t="str" cm="1">
        <f t="array" aca="1" ref="H118" ca="1">INDIRECT("'Worksheet 2'!$P"&amp;$B109)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3"/>
    </row>
    <row r="119" spans="1:18" ht="22.8">
      <c r="C119" s="349" cm="1">
        <f t="array" aca="1" ref="C119" ca="1">INDIRECT("'Worksheet 2'!$J"&amp;$B109)</f>
        <v>0</v>
      </c>
      <c r="D119" s="450" t="b" cm="1">
        <f t="array" aca="1" ref="D119" ca="1">IF(INDIRECT("'Worksheet 2'!$D"&amp;$B109)=1, "Left of Pair", IF(INDIRECT("'Worksheet 2'!$E"&amp;$B109)=1, "Panel"))</f>
        <v>0</v>
      </c>
      <c r="E119" s="450"/>
      <c r="F119" s="450"/>
      <c r="G119" s="375"/>
      <c r="H119" s="375" t="str" cm="1">
        <f t="array" aca="1" ref="H119" ca="1">IF(INDIRECT("'Worksheet 2'!$F"&amp;$B109)="st","SOR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 2'!$D"&amp;$B109)=1, "Right of Pair", IF(INDIRECT("'Worksheet 2'!$E"&amp;$B109)=1,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+'Worksheet 2'!$W$4</f>
        <v xml:space="preserve">Zuni Annex  WO#J5104785-00267 </v>
      </c>
      <c r="E123" s="22"/>
      <c r="F123" s="23"/>
      <c r="G123" s="22"/>
      <c r="H123" s="24"/>
      <c r="I123" s="25">
        <f>+'Worksheet 2'!$AR$1</f>
        <v>32990</v>
      </c>
      <c r="J123" s="26"/>
      <c r="L123" s="165" t="s">
        <v>113</v>
      </c>
      <c r="M123" s="21" t="str">
        <f>+'Worksheet 2'!$W$4</f>
        <v xml:space="preserve">Zuni Annex  WO#J5104785-00267 </v>
      </c>
      <c r="N123" s="22"/>
      <c r="O123" s="23"/>
      <c r="P123" s="22"/>
      <c r="Q123" s="24"/>
      <c r="R123" s="25">
        <f>+'Worksheet 2'!$AR$1</f>
        <v>32990</v>
      </c>
    </row>
    <row r="124" spans="1:18" ht="31.8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 2'!$Y"&amp;$B123)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0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0</v>
      </c>
    </row>
    <row r="129" spans="1:18" ht="12.75" customHeight="1">
      <c r="C129" s="169" t="s">
        <v>114</v>
      </c>
      <c r="D129" s="374" cm="1">
        <f t="array" aca="1" ref="D129" ca="1">INDIRECT("'Worksheet 2'!$B"&amp;$B123)</f>
        <v>0</v>
      </c>
      <c r="E129" s="22"/>
      <c r="F129" s="23"/>
      <c r="G129" s="22"/>
      <c r="H129" s="24"/>
      <c r="I129" s="451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P2-30</v>
      </c>
    </row>
    <row r="130" spans="1:18" ht="15.75" customHeight="1">
      <c r="C130" s="165" t="s">
        <v>117</v>
      </c>
      <c r="D130" s="347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 2'!$X"&amp;$B123)</f>
        <v>0</v>
      </c>
      <c r="F131" s="39"/>
      <c r="G131" s="20"/>
      <c r="H131" s="348" t="str" cm="1">
        <f t="array" aca="1" ref="H131" ca="1">INDIRECT("'Worksheet 2'!$R"&amp;$B123)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 2'!$W"&amp;$B123)</f>
        <v>0</v>
      </c>
      <c r="E132" s="22"/>
      <c r="F132" s="23"/>
      <c r="G132" s="22"/>
      <c r="H132" s="348" t="str" cm="1">
        <f t="array" aca="1" ref="H132" ca="1">INDIRECT("'Worksheet 2'!$P"&amp;$B123)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3"/>
    </row>
    <row r="133" spans="1:18" ht="22.8">
      <c r="C133" s="349" cm="1">
        <f t="array" aca="1" ref="C133" ca="1">INDIRECT("'Worksheet 2'!$J"&amp;$B123)</f>
        <v>0</v>
      </c>
      <c r="D133" s="450" t="b" cm="1">
        <f t="array" aca="1" ref="D133" ca="1">IF(INDIRECT("'Worksheet 2'!$D"&amp;$B123)=1, "Left of Pair", IF(INDIRECT("'Worksheet 2'!$E"&amp;$B123)=1, "Panel"))</f>
        <v>0</v>
      </c>
      <c r="E133" s="450"/>
      <c r="F133" s="450"/>
      <c r="G133" s="375"/>
      <c r="H133" s="375" t="str" cm="1">
        <f t="array" aca="1" ref="H133" ca="1">IF(INDIRECT("'Worksheet 2'!$F"&amp;$B123)="st","SOR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 2'!$D"&amp;$B123)=1, "Right of Pair", IF(INDIRECT("'Worksheet 2'!$E"&amp;$B123)=1,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+'Worksheet 2'!$W$4</f>
        <v xml:space="preserve">Zuni Annex  WO#J5104785-00267 </v>
      </c>
      <c r="E137" s="22"/>
      <c r="F137" s="23"/>
      <c r="G137" s="22"/>
      <c r="H137" s="24"/>
      <c r="I137" s="25">
        <f>+'Worksheet 2'!$AR$1</f>
        <v>32990</v>
      </c>
      <c r="J137" s="26"/>
      <c r="L137" s="165" t="s">
        <v>113</v>
      </c>
      <c r="M137" s="21" t="str">
        <f>+'Worksheet 2'!$W$4</f>
        <v xml:space="preserve">Zuni Annex  WO#J5104785-00267 </v>
      </c>
      <c r="N137" s="22"/>
      <c r="O137" s="23"/>
      <c r="P137" s="22"/>
      <c r="Q137" s="24"/>
      <c r="R137" s="25">
        <f>+'Worksheet 2'!$AR$1</f>
        <v>32990</v>
      </c>
    </row>
    <row r="138" spans="1:18" ht="31.8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 2'!$Y"&amp;$B137)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0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0</v>
      </c>
    </row>
    <row r="143" spans="1:18" ht="12.75" customHeight="1">
      <c r="C143" s="169" t="s">
        <v>114</v>
      </c>
      <c r="D143" s="374" cm="1">
        <f t="array" aca="1" ref="D143" ca="1">INDIRECT("'Worksheet 2'!$B"&amp;$B137)</f>
        <v>0</v>
      </c>
      <c r="E143" s="22"/>
      <c r="F143" s="23"/>
      <c r="G143" s="22"/>
      <c r="H143" s="24"/>
      <c r="I143" s="451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P2-31</v>
      </c>
    </row>
    <row r="144" spans="1:18" ht="15.75" customHeight="1">
      <c r="C144" s="165" t="s">
        <v>117</v>
      </c>
      <c r="D144" s="347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 2'!$X"&amp;$B137)</f>
        <v>0</v>
      </c>
      <c r="F145" s="39"/>
      <c r="G145" s="20"/>
      <c r="H145" s="348" t="str" cm="1">
        <f t="array" aca="1" ref="H145" ca="1">INDIRECT("'Worksheet 2'!$R"&amp;$B137)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 2'!$W"&amp;$B137)</f>
        <v>0</v>
      </c>
      <c r="E146" s="22"/>
      <c r="F146" s="23"/>
      <c r="G146" s="22"/>
      <c r="H146" s="348" t="str" cm="1">
        <f t="array" aca="1" ref="H146" ca="1">INDIRECT("'Worksheet 2'!$P"&amp;$B137)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3"/>
    </row>
    <row r="147" spans="1:18" ht="22.8">
      <c r="C147" s="349" cm="1">
        <f t="array" aca="1" ref="C147" ca="1">INDIRECT("'Worksheet 2'!$J"&amp;$B137)</f>
        <v>0</v>
      </c>
      <c r="D147" s="450" t="b" cm="1">
        <f t="array" aca="1" ref="D147" ca="1">IF(INDIRECT("'Worksheet 2'!$D"&amp;$B137)=1, "Left of Pair", IF(INDIRECT("'Worksheet 2'!$E"&amp;$B137)=1, "Panel"))</f>
        <v>0</v>
      </c>
      <c r="E147" s="450"/>
      <c r="F147" s="450"/>
      <c r="G147" s="375"/>
      <c r="H147" s="375" t="str" cm="1">
        <f t="array" aca="1" ref="H147" ca="1">IF(INDIRECT("'Worksheet 2'!$F"&amp;$B137)="st","SOR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 2'!$D"&amp;$B137)=1, "Right of Pair", IF(INDIRECT("'Worksheet 2'!$E"&amp;$B137)=1,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+'Worksheet 2'!$W$4</f>
        <v xml:space="preserve">Zuni Annex  WO#J5104785-00267 </v>
      </c>
      <c r="E151" s="22"/>
      <c r="F151" s="23"/>
      <c r="G151" s="22"/>
      <c r="H151" s="24"/>
      <c r="I151" s="25">
        <f>+'Worksheet 2'!$AR$1</f>
        <v>32990</v>
      </c>
      <c r="J151" s="26"/>
      <c r="L151" s="165" t="s">
        <v>113</v>
      </c>
      <c r="M151" s="21" t="str">
        <f>+'Worksheet 2'!$W$4</f>
        <v xml:space="preserve">Zuni Annex  WO#J5104785-00267 </v>
      </c>
      <c r="N151" s="22"/>
      <c r="O151" s="23"/>
      <c r="P151" s="22"/>
      <c r="Q151" s="24"/>
      <c r="R151" s="25">
        <f>+'Worksheet 2'!$AR$1</f>
        <v>32990</v>
      </c>
    </row>
    <row r="152" spans="1:18" ht="31.8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 2'!$Y"&amp;$B151)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0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0</v>
      </c>
    </row>
    <row r="157" spans="1:18" ht="12.75" customHeight="1">
      <c r="C157" s="169" t="s">
        <v>114</v>
      </c>
      <c r="D157" s="374" cm="1">
        <f t="array" aca="1" ref="D157" ca="1">INDIRECT("'Worksheet 2'!$B"&amp;$B151)</f>
        <v>0</v>
      </c>
      <c r="E157" s="22"/>
      <c r="F157" s="23"/>
      <c r="G157" s="22"/>
      <c r="H157" s="24"/>
      <c r="I157" s="451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P2-32</v>
      </c>
    </row>
    <row r="158" spans="1:18" ht="15.75" customHeight="1">
      <c r="C158" s="165" t="s">
        <v>117</v>
      </c>
      <c r="D158" s="347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 2'!$X"&amp;$B151)</f>
        <v>0</v>
      </c>
      <c r="F159" s="39"/>
      <c r="G159" s="20"/>
      <c r="H159" s="348" t="str" cm="1">
        <f t="array" aca="1" ref="H159" ca="1">INDIRECT("'Worksheet 2'!$R"&amp;$B151)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 2'!$W"&amp;$B151)</f>
        <v>0</v>
      </c>
      <c r="E160" s="22"/>
      <c r="F160" s="23"/>
      <c r="G160" s="22"/>
      <c r="H160" s="348" t="str" cm="1">
        <f t="array" aca="1" ref="H160" ca="1">INDIRECT("'Worksheet 2'!$P"&amp;$B151)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3"/>
    </row>
    <row r="161" spans="1:18" ht="22.8">
      <c r="C161" s="349" cm="1">
        <f t="array" aca="1" ref="C161" ca="1">INDIRECT("'Worksheet 2'!$J"&amp;$B151)</f>
        <v>0</v>
      </c>
      <c r="D161" s="450" t="b" cm="1">
        <f t="array" aca="1" ref="D161" ca="1">IF(INDIRECT("'Worksheet 2'!$D"&amp;$B151)=1, "Left of Pair", IF(INDIRECT("'Worksheet 2'!$E"&amp;$B151)=1, "Panel"))</f>
        <v>0</v>
      </c>
      <c r="E161" s="450"/>
      <c r="F161" s="450"/>
      <c r="G161" s="375"/>
      <c r="H161" s="375" t="str" cm="1">
        <f t="array" aca="1" ref="H161" ca="1">IF(INDIRECT("'Worksheet 2'!$F"&amp;$B151)="st","SOR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 2'!$D"&amp;$B151)=1, "Right of Pair", IF(INDIRECT("'Worksheet 2'!$E"&amp;$B151)=1,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+'Worksheet 2'!$W$4</f>
        <v xml:space="preserve">Zuni Annex  WO#J5104785-00267 </v>
      </c>
      <c r="E163" s="22"/>
      <c r="F163" s="23"/>
      <c r="G163" s="22"/>
      <c r="H163" s="24"/>
      <c r="I163" s="25">
        <f>+'Worksheet 2'!$AR$1</f>
        <v>32990</v>
      </c>
      <c r="J163" s="26"/>
      <c r="L163" s="165" t="s">
        <v>113</v>
      </c>
      <c r="M163" s="21" t="str">
        <f>+'Worksheet 2'!$W$4</f>
        <v xml:space="preserve">Zuni Annex  WO#J5104785-00267 </v>
      </c>
      <c r="N163" s="22"/>
      <c r="O163" s="23"/>
      <c r="P163" s="22"/>
      <c r="Q163" s="24"/>
      <c r="R163" s="25">
        <f>+'Worksheet 2'!$AR$1</f>
        <v>32990</v>
      </c>
    </row>
    <row r="164" spans="1:18" ht="31.8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 2'!$Y"&amp;$B163)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0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0</v>
      </c>
    </row>
    <row r="169" spans="1:18" ht="12.75" customHeight="1">
      <c r="C169" s="169" t="s">
        <v>114</v>
      </c>
      <c r="D169" s="374" cm="1">
        <f t="array" aca="1" ref="D169" ca="1">INDIRECT("'Worksheet 2'!$B"&amp;$B163)</f>
        <v>0</v>
      </c>
      <c r="E169" s="22"/>
      <c r="F169" s="23"/>
      <c r="G169" s="22"/>
      <c r="H169" s="24"/>
      <c r="I169" s="451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P2-33</v>
      </c>
    </row>
    <row r="170" spans="1:18" ht="15.75" customHeight="1">
      <c r="C170" s="165" t="s">
        <v>117</v>
      </c>
      <c r="D170" s="347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 2'!$X"&amp;$B163)</f>
        <v>0</v>
      </c>
      <c r="F171" s="39"/>
      <c r="G171" s="20"/>
      <c r="H171" s="348" t="str" cm="1">
        <f t="array" aca="1" ref="H171" ca="1">INDIRECT("'Worksheet 2'!$R"&amp;$B163)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 2'!$W"&amp;$B163)</f>
        <v>0</v>
      </c>
      <c r="E172" s="22"/>
      <c r="F172" s="23"/>
      <c r="G172" s="22"/>
      <c r="H172" s="348" t="str" cm="1">
        <f t="array" aca="1" ref="H172" ca="1">INDIRECT("'Worksheet 2'!$P"&amp;$B163)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3"/>
    </row>
    <row r="173" spans="1:18" ht="22.8">
      <c r="C173" s="349" cm="1">
        <f t="array" aca="1" ref="C173" ca="1">INDIRECT("'Worksheet 2'!$J"&amp;$B163)</f>
        <v>0</v>
      </c>
      <c r="D173" s="450" t="b" cm="1">
        <f t="array" aca="1" ref="D173" ca="1">IF(INDIRECT("'Worksheet 2'!$D"&amp;$B163)=1, "Left of Pair", IF(INDIRECT("'Worksheet 2'!$E"&amp;$B163)=1, "Panel"))</f>
        <v>0</v>
      </c>
      <c r="E173" s="450"/>
      <c r="F173" s="450"/>
      <c r="G173" s="375"/>
      <c r="H173" s="375" t="str" cm="1">
        <f t="array" aca="1" ref="H173" ca="1">IF(INDIRECT("'Worksheet 2'!$F"&amp;$B163)="st","SOR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 2'!$D"&amp;$B163)=1, "Right of Pair", IF(INDIRECT("'Worksheet 2'!$E"&amp;$B163)=1,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+'Worksheet 2'!$W$4</f>
        <v xml:space="preserve">Zuni Annex  WO#J5104785-00267 </v>
      </c>
      <c r="E177" s="22"/>
      <c r="F177" s="23"/>
      <c r="G177" s="22"/>
      <c r="H177" s="24"/>
      <c r="I177" s="25">
        <f>+'Worksheet 2'!$AR$1</f>
        <v>32990</v>
      </c>
      <c r="J177" s="26"/>
      <c r="L177" s="165" t="s">
        <v>113</v>
      </c>
      <c r="M177" s="21" t="str">
        <f>+'Worksheet 2'!$W$4</f>
        <v xml:space="preserve">Zuni Annex  WO#J5104785-00267 </v>
      </c>
      <c r="N177" s="22"/>
      <c r="O177" s="23"/>
      <c r="P177" s="22"/>
      <c r="Q177" s="24"/>
      <c r="R177" s="25">
        <f>+'Worksheet 2'!$AR$1</f>
        <v>32990</v>
      </c>
    </row>
    <row r="178" spans="1:18" ht="31.8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 2'!$Y"&amp;$B177)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0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0</v>
      </c>
    </row>
    <row r="183" spans="1:18" ht="12.75" customHeight="1">
      <c r="C183" s="169" t="s">
        <v>114</v>
      </c>
      <c r="D183" s="374" cm="1">
        <f t="array" aca="1" ref="D183" ca="1">INDIRECT("'Worksheet 2'!$B"&amp;$B177)</f>
        <v>0</v>
      </c>
      <c r="E183" s="22"/>
      <c r="F183" s="23"/>
      <c r="G183" s="22"/>
      <c r="H183" s="24"/>
      <c r="I183" s="451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P2-34</v>
      </c>
    </row>
    <row r="184" spans="1:18" ht="15.75" customHeight="1">
      <c r="C184" s="165" t="s">
        <v>117</v>
      </c>
      <c r="D184" s="347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 2'!$X"&amp;$B177)</f>
        <v>0</v>
      </c>
      <c r="F185" s="39"/>
      <c r="G185" s="20"/>
      <c r="H185" s="348" t="str" cm="1">
        <f t="array" aca="1" ref="H185" ca="1">INDIRECT("'Worksheet 2'!$R"&amp;$B177)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 2'!$W"&amp;$B177)</f>
        <v>0</v>
      </c>
      <c r="E186" s="22"/>
      <c r="F186" s="23"/>
      <c r="G186" s="22"/>
      <c r="H186" s="348" t="str" cm="1">
        <f t="array" aca="1" ref="H186" ca="1">INDIRECT("'Worksheet 2'!$P"&amp;$B177)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3"/>
    </row>
    <row r="187" spans="1:18" ht="22.8">
      <c r="C187" s="349" cm="1">
        <f t="array" aca="1" ref="C187" ca="1">INDIRECT("'Worksheet 2'!$J"&amp;$B177)</f>
        <v>0</v>
      </c>
      <c r="D187" s="450" t="b" cm="1">
        <f t="array" aca="1" ref="D187" ca="1">IF(INDIRECT("'Worksheet 2'!$D"&amp;$B177)=1, "Left of Pair", IF(INDIRECT("'Worksheet 2'!$E"&amp;$B177)=1, "Panel"))</f>
        <v>0</v>
      </c>
      <c r="E187" s="450"/>
      <c r="F187" s="450"/>
      <c r="G187" s="375"/>
      <c r="H187" s="375" t="str" cm="1">
        <f t="array" aca="1" ref="H187" ca="1">IF(INDIRECT("'Worksheet 2'!$F"&amp;$B177)="st","SOR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 2'!$D"&amp;$B177)=1, "Right of Pair", IF(INDIRECT("'Worksheet 2'!$E"&amp;$B177)=1,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+'Worksheet 2'!$W$4</f>
        <v xml:space="preserve">Zuni Annex  WO#J5104785-00267 </v>
      </c>
      <c r="E191" s="22"/>
      <c r="F191" s="23"/>
      <c r="G191" s="22"/>
      <c r="H191" s="24"/>
      <c r="I191" s="25">
        <f>+'Worksheet 2'!$AR$1</f>
        <v>32990</v>
      </c>
      <c r="J191" s="26"/>
      <c r="L191" s="165" t="s">
        <v>113</v>
      </c>
      <c r="M191" s="21" t="str">
        <f>+'Worksheet 2'!$W$4</f>
        <v xml:space="preserve">Zuni Annex  WO#J5104785-00267 </v>
      </c>
      <c r="N191" s="22"/>
      <c r="O191" s="23"/>
      <c r="P191" s="22"/>
      <c r="Q191" s="24"/>
      <c r="R191" s="25">
        <f>+'Worksheet 2'!$AR$1</f>
        <v>32990</v>
      </c>
    </row>
    <row r="192" spans="1:18" ht="31.8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 2'!$Y"&amp;$B191)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0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0</v>
      </c>
    </row>
    <row r="197" spans="1:18" ht="12.75" customHeight="1">
      <c r="C197" s="169" t="s">
        <v>114</v>
      </c>
      <c r="D197" s="374" cm="1">
        <f t="array" aca="1" ref="D197" ca="1">INDIRECT("'Worksheet 2'!$B"&amp;$B191)</f>
        <v>0</v>
      </c>
      <c r="E197" s="22"/>
      <c r="F197" s="23"/>
      <c r="G197" s="22"/>
      <c r="H197" s="24"/>
      <c r="I197" s="451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P2-35</v>
      </c>
    </row>
    <row r="198" spans="1:18" ht="15.75" customHeight="1">
      <c r="C198" s="165" t="s">
        <v>117</v>
      </c>
      <c r="D198" s="347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 2'!$X"&amp;$B191)</f>
        <v>0</v>
      </c>
      <c r="F199" s="39"/>
      <c r="G199" s="20"/>
      <c r="H199" s="348" t="str" cm="1">
        <f t="array" aca="1" ref="H199" ca="1">INDIRECT("'Worksheet 2'!$R"&amp;$B191)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 2'!$W"&amp;$B191)</f>
        <v>0</v>
      </c>
      <c r="E200" s="22"/>
      <c r="F200" s="23"/>
      <c r="G200" s="22"/>
      <c r="H200" s="348" t="str" cm="1">
        <f t="array" aca="1" ref="H200" ca="1">INDIRECT("'Worksheet 2'!$P"&amp;$B191)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3"/>
    </row>
    <row r="201" spans="1:18" ht="22.8">
      <c r="C201" s="349" cm="1">
        <f t="array" aca="1" ref="C201" ca="1">INDIRECT("'Worksheet 2'!$J"&amp;$B191)</f>
        <v>0</v>
      </c>
      <c r="D201" s="450" t="b" cm="1">
        <f t="array" aca="1" ref="D201" ca="1">IF(INDIRECT("'Worksheet 2'!$D"&amp;$B191)=1, "Left of Pair", IF(INDIRECT("'Worksheet 2'!$E"&amp;$B191)=1, "Panel"))</f>
        <v>0</v>
      </c>
      <c r="E201" s="450"/>
      <c r="F201" s="450"/>
      <c r="G201" s="375"/>
      <c r="H201" s="375" t="str" cm="1">
        <f t="array" aca="1" ref="H201" ca="1">IF(INDIRECT("'Worksheet 2'!$F"&amp;$B191)="st","SOR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 2'!$D"&amp;$B191)=1, "Right of Pair", IF(INDIRECT("'Worksheet 2'!$E"&amp;$B191)=1,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+'Worksheet 2'!$W$4</f>
        <v xml:space="preserve">Zuni Annex  WO#J5104785-00267 </v>
      </c>
      <c r="E205" s="22"/>
      <c r="F205" s="23"/>
      <c r="G205" s="22"/>
      <c r="H205" s="24"/>
      <c r="I205" s="25">
        <f>+'Worksheet 2'!$AR$1</f>
        <v>32990</v>
      </c>
      <c r="J205" s="26"/>
      <c r="L205" s="165" t="s">
        <v>113</v>
      </c>
      <c r="M205" s="21" t="str">
        <f>+'Worksheet 2'!$W$4</f>
        <v xml:space="preserve">Zuni Annex  WO#J5104785-00267 </v>
      </c>
      <c r="N205" s="22"/>
      <c r="O205" s="23"/>
      <c r="P205" s="22"/>
      <c r="Q205" s="24"/>
      <c r="R205" s="25">
        <f>+'Worksheet 2'!$AR$1</f>
        <v>32990</v>
      </c>
    </row>
    <row r="206" spans="1:18" ht="31.8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 2'!$Y"&amp;$B205)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0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0</v>
      </c>
    </row>
    <row r="211" spans="1:18" ht="12.75" customHeight="1">
      <c r="C211" s="169" t="s">
        <v>114</v>
      </c>
      <c r="D211" s="374" cm="1">
        <f t="array" aca="1" ref="D211" ca="1">INDIRECT("'Worksheet 2'!$B"&amp;$B205)</f>
        <v>0</v>
      </c>
      <c r="E211" s="22"/>
      <c r="F211" s="23"/>
      <c r="G211" s="22"/>
      <c r="H211" s="24"/>
      <c r="I211" s="451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P2-36</v>
      </c>
    </row>
    <row r="212" spans="1:18" ht="15.75" customHeight="1">
      <c r="C212" s="165" t="s">
        <v>117</v>
      </c>
      <c r="D212" s="347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 2'!$X"&amp;$B205)</f>
        <v>0</v>
      </c>
      <c r="F213" s="39"/>
      <c r="G213" s="20"/>
      <c r="H213" s="348" t="str" cm="1">
        <f t="array" aca="1" ref="H213" ca="1">INDIRECT("'Worksheet 2'!$R"&amp;$B205)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 2'!$W"&amp;$B205)</f>
        <v>0</v>
      </c>
      <c r="E214" s="22"/>
      <c r="F214" s="23"/>
      <c r="G214" s="22"/>
      <c r="H214" s="348" t="str" cm="1">
        <f t="array" aca="1" ref="H214" ca="1">INDIRECT("'Worksheet 2'!$P"&amp;$B205)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3"/>
    </row>
    <row r="215" spans="1:18" ht="22.8">
      <c r="C215" s="349" cm="1">
        <f t="array" aca="1" ref="C215" ca="1">INDIRECT("'Worksheet 2'!$J"&amp;$B205)</f>
        <v>0</v>
      </c>
      <c r="D215" s="450" t="b" cm="1">
        <f t="array" aca="1" ref="D215" ca="1">IF(INDIRECT("'Worksheet 2'!$D"&amp;$B205)=1, "Left of Pair", IF(INDIRECT("'Worksheet 2'!$E"&amp;$B205)=1, "Panel"))</f>
        <v>0</v>
      </c>
      <c r="E215" s="450"/>
      <c r="F215" s="450"/>
      <c r="G215" s="375"/>
      <c r="H215" s="375" t="str" cm="1">
        <f t="array" aca="1" ref="H215" ca="1">IF(INDIRECT("'Worksheet 2'!$F"&amp;$B205)="st","SOR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 2'!$D"&amp;$B205)=1, "Right of Pair", IF(INDIRECT("'Worksheet 2'!$E"&amp;$B205)=1,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+'Worksheet 2'!$W$4</f>
        <v xml:space="preserve">Zuni Annex  WO#J5104785-00267 </v>
      </c>
      <c r="E217" s="22"/>
      <c r="F217" s="23"/>
      <c r="G217" s="22"/>
      <c r="H217" s="24"/>
      <c r="I217" s="25">
        <f>+'Worksheet 2'!$AR$1</f>
        <v>32990</v>
      </c>
      <c r="J217" s="26"/>
      <c r="L217" s="165" t="s">
        <v>113</v>
      </c>
      <c r="M217" s="21" t="str">
        <f>+'Worksheet 2'!$W$4</f>
        <v xml:space="preserve">Zuni Annex  WO#J5104785-00267 </v>
      </c>
      <c r="N217" s="22"/>
      <c r="O217" s="23"/>
      <c r="P217" s="22"/>
      <c r="Q217" s="24"/>
      <c r="R217" s="25">
        <f>+'Worksheet 2'!$AR$1</f>
        <v>32990</v>
      </c>
    </row>
    <row r="218" spans="1:18" ht="31.8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 2'!$Y"&amp;$B217)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0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0</v>
      </c>
    </row>
    <row r="223" spans="1:18" ht="12.75" customHeight="1">
      <c r="C223" s="169" t="s">
        <v>114</v>
      </c>
      <c r="D223" s="374" cm="1">
        <f t="array" aca="1" ref="D223" ca="1">INDIRECT("'Worksheet 2'!$B"&amp;$B217)</f>
        <v>0</v>
      </c>
      <c r="E223" s="22"/>
      <c r="F223" s="23"/>
      <c r="G223" s="22"/>
      <c r="H223" s="24"/>
      <c r="I223" s="451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P2-37</v>
      </c>
    </row>
    <row r="224" spans="1:18" ht="15.75" customHeight="1">
      <c r="C224" s="165" t="s">
        <v>117</v>
      </c>
      <c r="D224" s="347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 2'!$X"&amp;$B217)</f>
        <v>0</v>
      </c>
      <c r="F225" s="39"/>
      <c r="G225" s="20"/>
      <c r="H225" s="348" t="str" cm="1">
        <f t="array" aca="1" ref="H225" ca="1">INDIRECT("'Worksheet 2'!$R"&amp;$B217)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 2'!$W"&amp;$B217)</f>
        <v>0</v>
      </c>
      <c r="E226" s="22"/>
      <c r="F226" s="23"/>
      <c r="G226" s="22"/>
      <c r="H226" s="348" t="str" cm="1">
        <f t="array" aca="1" ref="H226" ca="1">INDIRECT("'Worksheet 2'!$P"&amp;$B217)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3"/>
    </row>
    <row r="227" spans="1:18" ht="22.8">
      <c r="C227" s="349" cm="1">
        <f t="array" aca="1" ref="C227" ca="1">INDIRECT("'Worksheet 2'!$J"&amp;$B217)</f>
        <v>0</v>
      </c>
      <c r="D227" s="450" t="b" cm="1">
        <f t="array" aca="1" ref="D227" ca="1">IF(INDIRECT("'Worksheet 2'!$D"&amp;$B217)=1, "Left of Pair", IF(INDIRECT("'Worksheet 2'!$E"&amp;$B217)=1, "Panel"))</f>
        <v>0</v>
      </c>
      <c r="E227" s="450"/>
      <c r="F227" s="450"/>
      <c r="G227" s="375"/>
      <c r="H227" s="375" t="str" cm="1">
        <f t="array" aca="1" ref="H227" ca="1">IF(INDIRECT("'Worksheet 2'!$F"&amp;$B217)="st","SOR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 2'!$D"&amp;$B217)=1, "Right of Pair", IF(INDIRECT("'Worksheet 2'!$E"&amp;$B217)=1,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+'Worksheet 2'!$W$4</f>
        <v xml:space="preserve">Zuni Annex  WO#J5104785-00267 </v>
      </c>
      <c r="E231" s="22"/>
      <c r="F231" s="23"/>
      <c r="G231" s="22"/>
      <c r="H231" s="24"/>
      <c r="I231" s="25">
        <f>+'Worksheet 2'!$AR$1</f>
        <v>32990</v>
      </c>
      <c r="J231" s="26"/>
      <c r="L231" s="165" t="s">
        <v>113</v>
      </c>
      <c r="M231" s="21" t="str">
        <f>+'Worksheet 2'!$W$4</f>
        <v xml:space="preserve">Zuni Annex  WO#J5104785-00267 </v>
      </c>
      <c r="N231" s="22"/>
      <c r="O231" s="23"/>
      <c r="P231" s="22"/>
      <c r="Q231" s="24"/>
      <c r="R231" s="25">
        <f>+'Worksheet 2'!$AR$1</f>
        <v>32990</v>
      </c>
    </row>
    <row r="232" spans="1:18" ht="31.8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 2'!$Y"&amp;$B231)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0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0</v>
      </c>
    </row>
    <row r="237" spans="1:18" ht="12.75" customHeight="1">
      <c r="C237" s="169" t="s">
        <v>114</v>
      </c>
      <c r="D237" s="374" cm="1">
        <f t="array" aca="1" ref="D237" ca="1">INDIRECT("'Worksheet 2'!$B"&amp;$B231)</f>
        <v>0</v>
      </c>
      <c r="E237" s="22"/>
      <c r="F237" s="23"/>
      <c r="G237" s="22"/>
      <c r="H237" s="24"/>
      <c r="I237" s="451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P2-38</v>
      </c>
    </row>
    <row r="238" spans="1:18" ht="15.75" customHeight="1">
      <c r="C238" s="165" t="s">
        <v>117</v>
      </c>
      <c r="D238" s="347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 2'!$X"&amp;$B231)</f>
        <v>0</v>
      </c>
      <c r="F239" s="39"/>
      <c r="G239" s="20"/>
      <c r="H239" s="348" t="str" cm="1">
        <f t="array" aca="1" ref="H239" ca="1">INDIRECT("'Worksheet 2'!$R"&amp;$B231)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 2'!$W"&amp;$B231)</f>
        <v>0</v>
      </c>
      <c r="E240" s="22"/>
      <c r="F240" s="23"/>
      <c r="G240" s="22"/>
      <c r="H240" s="348" t="str" cm="1">
        <f t="array" aca="1" ref="H240" ca="1">INDIRECT("'Worksheet 2'!$P"&amp;$B231)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3"/>
    </row>
    <row r="241" spans="1:18" ht="22.8">
      <c r="C241" s="349" cm="1">
        <f t="array" aca="1" ref="C241" ca="1">INDIRECT("'Worksheet 2'!$J"&amp;$B231)</f>
        <v>0</v>
      </c>
      <c r="D241" s="450" t="b" cm="1">
        <f t="array" aca="1" ref="D241" ca="1">IF(INDIRECT("'Worksheet 2'!$D"&amp;$B231)=1, "Left of Pair", IF(INDIRECT("'Worksheet 2'!$E"&amp;$B231)=1, "Panel"))</f>
        <v>0</v>
      </c>
      <c r="E241" s="450"/>
      <c r="F241" s="450"/>
      <c r="G241" s="375"/>
      <c r="H241" s="375" t="str" cm="1">
        <f t="array" aca="1" ref="H241" ca="1">IF(INDIRECT("'Worksheet 2'!$F"&amp;$B231)="st","SOR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 2'!$D"&amp;$B231)=1, "Right of Pair", IF(INDIRECT("'Worksheet 2'!$E"&amp;$B231)=1,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+'Worksheet 2'!$W$4</f>
        <v xml:space="preserve">Zuni Annex  WO#J5104785-00267 </v>
      </c>
      <c r="E245" s="22"/>
      <c r="F245" s="23"/>
      <c r="G245" s="22"/>
      <c r="H245" s="24"/>
      <c r="I245" s="25">
        <f>+'Worksheet 2'!$AR$1</f>
        <v>32990</v>
      </c>
      <c r="J245" s="26"/>
      <c r="L245" s="165" t="s">
        <v>113</v>
      </c>
      <c r="M245" s="21" t="str">
        <f>+'Worksheet 2'!$W$4</f>
        <v xml:space="preserve">Zuni Annex  WO#J5104785-00267 </v>
      </c>
      <c r="N245" s="22"/>
      <c r="O245" s="23"/>
      <c r="P245" s="22"/>
      <c r="Q245" s="24"/>
      <c r="R245" s="25">
        <f>+'Worksheet 2'!$AR$1</f>
        <v>32990</v>
      </c>
    </row>
    <row r="246" spans="1:18" ht="31.8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 2'!$Y"&amp;$B245)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0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0</v>
      </c>
    </row>
    <row r="251" spans="1:18" ht="12.75" customHeight="1">
      <c r="C251" s="169" t="s">
        <v>114</v>
      </c>
      <c r="D251" s="374" cm="1">
        <f t="array" aca="1" ref="D251" ca="1">INDIRECT("'Worksheet 2'!$B"&amp;$B245)</f>
        <v>0</v>
      </c>
      <c r="E251" s="22"/>
      <c r="F251" s="23"/>
      <c r="G251" s="22"/>
      <c r="H251" s="24"/>
      <c r="I251" s="451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P2-39</v>
      </c>
    </row>
    <row r="252" spans="1:18" ht="15.75" customHeight="1">
      <c r="C252" s="165" t="s">
        <v>117</v>
      </c>
      <c r="D252" s="347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 2'!$X"&amp;$B245)</f>
        <v>0</v>
      </c>
      <c r="F253" s="39"/>
      <c r="G253" s="20"/>
      <c r="H253" s="348" t="str" cm="1">
        <f t="array" aca="1" ref="H253" ca="1">INDIRECT("'Worksheet 2'!$R"&amp;$B245)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 2'!$W"&amp;$B245)</f>
        <v>0</v>
      </c>
      <c r="E254" s="22"/>
      <c r="F254" s="23"/>
      <c r="G254" s="22"/>
      <c r="H254" s="348" t="str" cm="1">
        <f t="array" aca="1" ref="H254" ca="1">INDIRECT("'Worksheet 2'!$P"&amp;$B245)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3"/>
    </row>
    <row r="255" spans="1:18" ht="22.8">
      <c r="C255" s="349" cm="1">
        <f t="array" aca="1" ref="C255" ca="1">INDIRECT("'Worksheet 2'!$J"&amp;$B245)</f>
        <v>0</v>
      </c>
      <c r="D255" s="450" t="b" cm="1">
        <f t="array" aca="1" ref="D255" ca="1">IF(INDIRECT("'Worksheet 2'!$D"&amp;$B245)=1, "Left of Pair", IF(INDIRECT("'Worksheet 2'!$E"&amp;$B245)=1, "Panel"))</f>
        <v>0</v>
      </c>
      <c r="E255" s="450"/>
      <c r="F255" s="450"/>
      <c r="G255" s="375"/>
      <c r="H255" s="375" t="str" cm="1">
        <f t="array" aca="1" ref="H255" ca="1">IF(INDIRECT("'Worksheet 2'!$F"&amp;$B245)="st","SOR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 2'!$D"&amp;$B245)=1, "Right of Pair", IF(INDIRECT("'Worksheet 2'!$E"&amp;$B245)=1,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+'Worksheet 2'!$W$4</f>
        <v xml:space="preserve">Zuni Annex  WO#J5104785-00267 </v>
      </c>
      <c r="E259" s="22"/>
      <c r="F259" s="23"/>
      <c r="G259" s="22"/>
      <c r="H259" s="24"/>
      <c r="I259" s="25">
        <f>+'Worksheet 2'!$AR$1</f>
        <v>32990</v>
      </c>
      <c r="J259" s="26"/>
      <c r="L259" s="165" t="s">
        <v>113</v>
      </c>
      <c r="M259" s="21" t="str">
        <f>+'Worksheet 2'!$W$4</f>
        <v xml:space="preserve">Zuni Annex  WO#J5104785-00267 </v>
      </c>
      <c r="N259" s="22"/>
      <c r="O259" s="23"/>
      <c r="P259" s="22"/>
      <c r="Q259" s="24"/>
      <c r="R259" s="25">
        <f>+'Worksheet 2'!$AR$1</f>
        <v>32990</v>
      </c>
    </row>
    <row r="260" spans="1:18" ht="31.8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 2'!$Y"&amp;$B259)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0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0</v>
      </c>
    </row>
    <row r="265" spans="1:18" ht="12.75" customHeight="1">
      <c r="C265" s="169" t="s">
        <v>114</v>
      </c>
      <c r="D265" s="374" cm="1">
        <f t="array" aca="1" ref="D265" ca="1">INDIRECT("'Worksheet 2'!$B"&amp;$B259)</f>
        <v>0</v>
      </c>
      <c r="E265" s="22"/>
      <c r="F265" s="23"/>
      <c r="G265" s="22"/>
      <c r="H265" s="24"/>
      <c r="I265" s="451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P2-40</v>
      </c>
    </row>
    <row r="266" spans="1:18" ht="15.75" customHeight="1">
      <c r="C266" s="165" t="s">
        <v>117</v>
      </c>
      <c r="D266" s="347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 2'!$X"&amp;$B259)</f>
        <v>0</v>
      </c>
      <c r="F267" s="39"/>
      <c r="G267" s="20"/>
      <c r="H267" s="348" t="str" cm="1">
        <f t="array" aca="1" ref="H267" ca="1">INDIRECT("'Worksheet 2'!$R"&amp;$B259)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 2'!$W"&amp;$B259)</f>
        <v>0</v>
      </c>
      <c r="E268" s="22"/>
      <c r="F268" s="23"/>
      <c r="G268" s="22"/>
      <c r="H268" s="348" t="str" cm="1">
        <f t="array" aca="1" ref="H268" ca="1">INDIRECT("'Worksheet 2'!$P"&amp;$B259)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3"/>
    </row>
    <row r="269" spans="1:18" ht="22.8">
      <c r="C269" s="349" cm="1">
        <f t="array" aca="1" ref="C269" ca="1">INDIRECT("'Worksheet 2'!$J"&amp;$B259)</f>
        <v>0</v>
      </c>
      <c r="D269" s="450" t="b" cm="1">
        <f t="array" aca="1" ref="D269" ca="1">IF(INDIRECT("'Worksheet 2'!$D"&amp;$B259)=1, "Left of Pair", IF(INDIRECT("'Worksheet 2'!$E"&amp;$B259)=1, "Panel"))</f>
        <v>0</v>
      </c>
      <c r="E269" s="450"/>
      <c r="F269" s="450"/>
      <c r="G269" s="375"/>
      <c r="H269" s="375" t="str" cm="1">
        <f t="array" aca="1" ref="H269" ca="1">IF(INDIRECT("'Worksheet 2'!$F"&amp;$B259)="st","SOR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 2'!$D"&amp;$B259)=1, "Right of Pair", IF(INDIRECT("'Worksheet 2'!$E"&amp;$B259)=1,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2024-08-05T17:59:54Z</cp:lastPrinted>
  <dcterms:created xsi:type="dcterms:W3CDTF">1997-04-14T18:07:46Z</dcterms:created>
  <dcterms:modified xsi:type="dcterms:W3CDTF">2024-08-05T18:05:26Z</dcterms:modified>
</cp:coreProperties>
</file>