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New Mexico\"/>
    </mc:Choice>
  </mc:AlternateContent>
  <xr:revisionPtr revIDLastSave="0" documentId="13_ncr:1_{44652C90-129A-44D7-88CE-E25018D05344}" xr6:coauthVersionLast="47" xr6:coauthVersionMax="47" xr10:uidLastSave="{00000000-0000-0000-0000-000000000000}"/>
  <bookViews>
    <workbookView xWindow="-28920" yWindow="-120" windowWidth="29040" windowHeight="15720" firstSheet="1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(1)'!$C$1:$R$108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218" i="30" a="1"/>
  <c r="H30" i="30" a="1"/>
  <c r="F56" i="30" a="1"/>
  <c r="D116" i="30" a="1"/>
  <c r="H214" i="30" a="1"/>
  <c r="M65" i="30" a="1"/>
  <c r="H173" i="30" a="1"/>
  <c r="D211" i="30" a="1"/>
  <c r="C269" i="30" a="1"/>
  <c r="D8" i="30" a="1"/>
  <c r="H268" i="30" a="1"/>
  <c r="I103" i="30" a="1"/>
  <c r="D161" i="30" a="1"/>
  <c r="D76" i="30" a="1"/>
  <c r="D224" i="30" a="1"/>
  <c r="M39" i="30" a="1"/>
  <c r="H117" i="30" a="1"/>
  <c r="I7" i="30" a="1"/>
  <c r="H200" i="30" a="1"/>
  <c r="H78" i="30" a="1"/>
  <c r="D89" i="30" a="1"/>
  <c r="F246" i="30" a="1"/>
  <c r="C25" i="30" a="1"/>
  <c r="I197" i="30" a="1"/>
  <c r="H51" i="30" a="1"/>
  <c r="H152" i="30" a="1"/>
  <c r="D172" i="30" a="1"/>
  <c r="H240" i="30" a="1"/>
  <c r="D184" i="30" a="1"/>
  <c r="I167" i="30" a="1"/>
  <c r="H260" i="30" a="1"/>
  <c r="H24" i="30" a="1"/>
  <c r="I61" i="30" a="1"/>
  <c r="D251" i="30" a="1"/>
  <c r="I129" i="30" a="1"/>
  <c r="D30" i="30" a="1"/>
  <c r="F2" i="30" a="1"/>
  <c r="D215" i="30" a="1"/>
  <c r="D178" i="30" a="1"/>
  <c r="D38" i="30" a="1"/>
  <c r="C201" i="30" a="1"/>
  <c r="D65" i="30" a="1"/>
  <c r="G247" i="30" a="1"/>
  <c r="D124" i="30" a="1"/>
  <c r="H64" i="30" a="1"/>
  <c r="H213" i="30" a="1"/>
  <c r="C255" i="30" a="1"/>
  <c r="E37" i="30" a="1"/>
  <c r="M119" i="30" a="1"/>
  <c r="I127" i="30" a="1"/>
  <c r="I47" i="30" a="1"/>
  <c r="D232" i="30" a="1"/>
  <c r="I181" i="30" a="1"/>
  <c r="H178" i="30" a="1"/>
  <c r="D10" i="30" a="1"/>
  <c r="D146" i="30" a="1"/>
  <c r="G153" i="30" a="1"/>
  <c r="I209" i="30" a="1"/>
  <c r="I249" i="30" a="1"/>
  <c r="D143" i="30" a="1"/>
  <c r="D255" i="30" a="1"/>
  <c r="D133" i="30" a="1"/>
  <c r="H172" i="30" a="1"/>
  <c r="H186" i="30" a="1"/>
  <c r="G3" i="30" a="1"/>
  <c r="F70" i="30" a="1"/>
  <c r="G207" i="30" a="1"/>
  <c r="C161" i="30" a="1"/>
  <c r="H246" i="30" a="1"/>
  <c r="M215" i="30" a="1"/>
  <c r="M25" i="30" a="1"/>
  <c r="I21" i="30" a="1"/>
  <c r="E77" i="30" a="1"/>
  <c r="D240" i="30" a="1"/>
  <c r="G31" i="30" a="1"/>
  <c r="H215" i="30" a="1"/>
  <c r="M241" i="30" a="1"/>
  <c r="I75" i="30" a="1"/>
  <c r="D107" i="30" a="1"/>
  <c r="E63" i="30" a="1"/>
  <c r="E199" i="30" a="1"/>
  <c r="D35" i="30" a="1"/>
  <c r="D214" i="30" a="1"/>
  <c r="D170" i="30" a="1"/>
  <c r="C79" i="30" a="1"/>
  <c r="I115" i="30" a="1"/>
  <c r="D98" i="30" a="1"/>
  <c r="D186" i="30" a="1"/>
  <c r="I235" i="30" a="1"/>
  <c r="H226" i="30" a="1"/>
  <c r="M201" i="30" a="1"/>
  <c r="C53" i="30" a="1"/>
  <c r="D115" i="30" a="1"/>
  <c r="H39" i="30" a="1"/>
  <c r="I157" i="30" a="1"/>
  <c r="I141" i="30" a="1"/>
  <c r="G125" i="30" a="1"/>
  <c r="D246" i="30" a="1"/>
  <c r="M133" i="30" a="1"/>
  <c r="F178" i="30" a="1"/>
  <c r="D132" i="30" a="1"/>
  <c r="D187" i="30" a="1"/>
  <c r="M53" i="30" a="1"/>
  <c r="F84" i="30" a="1"/>
  <c r="C173" i="30" a="1"/>
  <c r="M269" i="30" a="1"/>
  <c r="D7" i="30" a="1"/>
  <c r="I49" i="30" a="1"/>
  <c r="H91" i="30" a="1"/>
  <c r="I183" i="30" a="1"/>
  <c r="M11" i="30" a="1"/>
  <c r="F110" i="30" a="1"/>
  <c r="H119" i="30" a="1"/>
  <c r="H84" i="30" a="1"/>
  <c r="E159" i="30" a="1"/>
  <c r="H267" i="30" a="1"/>
  <c r="H206" i="30" a="1"/>
  <c r="D266" i="30" a="1"/>
  <c r="G179" i="30" a="1"/>
  <c r="F218" i="30" a="1"/>
  <c r="G45" i="30" a="1"/>
  <c r="H187" i="30" a="1"/>
  <c r="I101" i="30" a="1"/>
  <c r="H25" i="30" a="1"/>
  <c r="G261" i="30" a="1"/>
  <c r="I33" i="30" a="1"/>
  <c r="H9" i="30" a="1"/>
  <c r="H37" i="30" a="1"/>
  <c r="E239" i="30" a="1"/>
  <c r="D56" i="30" a="1"/>
  <c r="H145" i="30" a="1"/>
  <c r="G111" i="30" a="1"/>
  <c r="C147" i="30" a="1"/>
  <c r="H133" i="30" a="1"/>
  <c r="H38" i="30" a="1"/>
  <c r="I19" i="30" a="1"/>
  <c r="D106" i="30" a="1"/>
  <c r="G85" i="30" a="1"/>
  <c r="D254" i="30" a="1"/>
  <c r="C187" i="30" a="1"/>
  <c r="H255" i="30" a="1"/>
  <c r="I143" i="30" a="1"/>
  <c r="D198" i="30" a="1"/>
  <c r="H254" i="30" a="1"/>
  <c r="F232" i="30" a="1"/>
  <c r="H107" i="30" a="1"/>
  <c r="F192" i="30" a="1"/>
  <c r="H10" i="30" a="1"/>
  <c r="D52" i="30" a="1"/>
  <c r="D21" i="30" a="1"/>
  <c r="H161" i="30" a="1"/>
  <c r="D92" i="30" a="1"/>
  <c r="G139" i="30" a="1"/>
  <c r="H93" i="30" a="1"/>
  <c r="D50" i="30" a="1"/>
  <c r="H160" i="30" a="1"/>
  <c r="I251" i="30" a="1"/>
  <c r="H23" i="30" a="1"/>
  <c r="D158" i="30" a="1"/>
  <c r="H201" i="30" a="1"/>
  <c r="D157" i="30" a="1"/>
  <c r="H124" i="30" a="1"/>
  <c r="M227" i="30" a="1"/>
  <c r="H132" i="30" a="1"/>
  <c r="D260" i="30" a="1"/>
  <c r="I223" i="30" a="1"/>
  <c r="M161" i="30" a="1"/>
  <c r="F164" i="30" a="1"/>
  <c r="I237" i="30" a="1"/>
  <c r="M79" i="30" a="1"/>
  <c r="D164" i="30" a="1"/>
  <c r="E253" i="30" a="1"/>
  <c r="D61" i="30" a="1"/>
  <c r="F138" i="30" a="1"/>
  <c r="M93" i="30" a="1"/>
  <c r="H44" i="30" a="1"/>
  <c r="H110" i="30" a="1"/>
  <c r="D103" i="30" a="1"/>
  <c r="D197" i="30" a="1"/>
  <c r="D104" i="30" a="1"/>
  <c r="D226" i="30" a="1"/>
  <c r="H192" i="30" a="1"/>
  <c r="D227" i="30" a="1"/>
  <c r="D36" i="30" a="1"/>
  <c r="D39" i="30" a="1"/>
  <c r="D206" i="30" a="1"/>
  <c r="H225" i="30" a="1"/>
  <c r="D70" i="30" a="1"/>
  <c r="E9" i="30" a="1"/>
  <c r="I155" i="30" a="1"/>
  <c r="H118" i="30" a="1"/>
  <c r="I73" i="30" a="1"/>
  <c r="I221" i="30" a="1"/>
  <c r="G57" i="30" a="1"/>
  <c r="D268" i="30" a="1"/>
  <c r="D25" i="30" a="1"/>
  <c r="H164" i="30" a="1"/>
  <c r="D119" i="30" a="1"/>
  <c r="D237" i="30" a="1"/>
  <c r="D212" i="30" a="1"/>
  <c r="D44" i="30" a="1"/>
  <c r="H11" i="30" a="1"/>
  <c r="H239" i="30" a="1"/>
  <c r="D49" i="30" a="1"/>
  <c r="E185" i="30" a="1"/>
  <c r="D2" i="30" a="1"/>
  <c r="G233" i="30" a="1"/>
  <c r="D84" i="30" a="1"/>
  <c r="M107" i="30" a="1"/>
  <c r="D62" i="30" a="1"/>
  <c r="D22" i="30" a="1"/>
  <c r="H77" i="30" a="1"/>
  <c r="C107" i="30" a="1"/>
  <c r="I59" i="30" a="1"/>
  <c r="E105" i="30" a="1"/>
  <c r="H56" i="30" a="1"/>
  <c r="D201" i="30" a="1"/>
  <c r="I113" i="30" a="1"/>
  <c r="I89" i="30" a="1"/>
  <c r="G165" i="30" a="1"/>
  <c r="F124" i="30" a="1"/>
  <c r="H105" i="30" a="1"/>
  <c r="I169" i="30" a="1"/>
  <c r="C241" i="30" a="1"/>
  <c r="E51" i="30" a="1"/>
  <c r="H2" i="30" a="1"/>
  <c r="D252" i="30" a="1"/>
  <c r="H185" i="30" a="1"/>
  <c r="H269" i="30" a="1"/>
  <c r="D238" i="30" a="1"/>
  <c r="D93" i="30" a="1"/>
  <c r="E145" i="30" a="1"/>
  <c r="D118" i="30" a="1"/>
  <c r="H79" i="30" a="1"/>
  <c r="H92" i="30" a="1"/>
  <c r="G193" i="30" a="1"/>
  <c r="D75" i="30" a="1"/>
  <c r="C93" i="30" a="1"/>
  <c r="H52" i="30" a="1"/>
  <c r="H171" i="30" a="1"/>
  <c r="M173" i="30" a="1"/>
  <c r="D129" i="30" a="1"/>
  <c r="E23" i="30" a="1"/>
  <c r="F44" i="30" a="1"/>
  <c r="D147" i="30" a="1"/>
  <c r="F16" i="30" a="1"/>
  <c r="D144" i="30" a="1"/>
  <c r="H199" i="30" a="1"/>
  <c r="D218" i="30" a="1"/>
  <c r="H70" i="30" a="1"/>
  <c r="H227" i="30" a="1"/>
  <c r="H63" i="30" a="1"/>
  <c r="D138" i="30" a="1"/>
  <c r="H131" i="30" a="1"/>
  <c r="H147" i="30" a="1"/>
  <c r="D64" i="30" a="1"/>
  <c r="H138" i="30" a="1"/>
  <c r="G219" i="30" a="1"/>
  <c r="D269" i="30" a="1"/>
  <c r="C65" i="30" a="1"/>
  <c r="D152" i="30" a="1"/>
  <c r="C39" i="30" a="1"/>
  <c r="D160" i="30" a="1"/>
  <c r="M147" i="30" a="1"/>
  <c r="H98" i="30" a="1"/>
  <c r="F206" i="30" a="1"/>
  <c r="D223" i="30" a="1"/>
  <c r="G71" i="30" a="1"/>
  <c r="C119" i="30" a="1"/>
  <c r="D169" i="30" a="1"/>
  <c r="H241" i="30" a="1"/>
  <c r="C11" i="30" a="1"/>
  <c r="D183" i="30" a="1"/>
  <c r="D241" i="30" a="1"/>
  <c r="E267" i="30" a="1"/>
  <c r="E213" i="30" a="1"/>
  <c r="E91" i="30" a="1"/>
  <c r="H16" i="30" a="1"/>
  <c r="D79" i="30" a="1"/>
  <c r="M255" i="30" a="1"/>
  <c r="D130" i="30" a="1"/>
  <c r="I195" i="30" a="1"/>
  <c r="G17" i="30" a="1"/>
  <c r="C227" i="30" a="1"/>
  <c r="H253" i="30" a="1"/>
  <c r="F30" i="30" a="1"/>
  <c r="D200" i="30" a="1"/>
  <c r="M187" i="30" a="1"/>
  <c r="E171" i="30" a="1"/>
  <c r="H106" i="30" a="1"/>
  <c r="I211" i="30" a="1"/>
  <c r="D53" i="30" a="1"/>
  <c r="C133" i="30" a="1"/>
  <c r="D24" i="30" a="1"/>
  <c r="D78" i="30" a="1"/>
  <c r="E131" i="30" a="1"/>
  <c r="H146" i="30" a="1"/>
  <c r="D173" i="30" a="1"/>
  <c r="F152" i="30" a="1"/>
  <c r="I265" i="30" a="1"/>
  <c r="H65" i="30" a="1"/>
  <c r="G99" i="30" a="1"/>
  <c r="H53" i="30" a="1"/>
  <c r="F98" i="30" a="1"/>
  <c r="I263" i="30" a="1"/>
  <c r="E225" i="30" a="1"/>
  <c r="C215" i="30" a="1"/>
  <c r="D265" i="30" a="1"/>
  <c r="D90" i="30" a="1"/>
  <c r="D11" i="30" a="1"/>
  <c r="E117" i="30" a="1"/>
  <c r="D16" i="30" a="1"/>
  <c r="I35" i="30" a="1"/>
  <c r="D192" i="30" a="1"/>
  <c r="I87" i="30" a="1"/>
  <c r="F260" i="30" a="1"/>
  <c r="H232" i="30" a="1"/>
  <c r="H159" i="30" a="1"/>
  <c r="D110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H65" i="9" a="1"/>
  <c r="M161" i="9" a="1"/>
  <c r="F98" i="9" a="1"/>
  <c r="F232" i="9" a="1"/>
  <c r="M79" i="9" a="1"/>
  <c r="M25" i="9" a="1"/>
  <c r="G153" i="9" a="1"/>
  <c r="D93" i="9" a="1"/>
  <c r="G207" i="9" a="1"/>
  <c r="E63" i="9" a="1"/>
  <c r="G247" i="9" a="1"/>
  <c r="G165" i="9" a="1"/>
  <c r="F164" i="9" a="1"/>
  <c r="D133" i="9" a="1"/>
  <c r="C161" i="9" a="1"/>
  <c r="C215" i="9" a="1"/>
  <c r="M93" i="9" a="1"/>
  <c r="G125" i="9" a="1"/>
  <c r="D7" i="9" a="1"/>
  <c r="F124" i="9" a="1"/>
  <c r="D170" i="9" a="1"/>
  <c r="D147" i="9" a="1"/>
  <c r="D115" i="9" a="1"/>
  <c r="D129" i="9" a="1"/>
  <c r="D62" i="9" a="1"/>
  <c r="H255" i="9" a="1"/>
  <c r="D172" i="9" a="1"/>
  <c r="F138" i="9" a="1"/>
  <c r="F178" i="9" a="1"/>
  <c r="M173" i="9" a="1"/>
  <c r="C241" i="9" a="1"/>
  <c r="D198" i="9" a="1"/>
  <c r="D107" i="9" a="1"/>
  <c r="H119" i="9" a="1"/>
  <c r="H161" i="9" a="1"/>
  <c r="D224" i="9" a="1"/>
  <c r="C93" i="9" a="1"/>
  <c r="H173" i="9" a="1"/>
  <c r="F70" i="9" a="1"/>
  <c r="E117" i="9" a="1"/>
  <c r="D251" i="9" a="1"/>
  <c r="F56" i="9" a="1"/>
  <c r="D52" i="9" a="1"/>
  <c r="D116" i="9" a="1"/>
  <c r="F260" i="9" a="1"/>
  <c r="C269" i="9" a="1"/>
  <c r="D38" i="9" a="1"/>
  <c r="D255" i="9" a="1"/>
  <c r="E171" i="9" a="1"/>
  <c r="C11" i="9" a="1"/>
  <c r="D252" i="9" a="1"/>
  <c r="E199" i="9" a="1"/>
  <c r="G261" i="9" a="1"/>
  <c r="D158" i="9" a="1"/>
  <c r="H24" i="9" a="1"/>
  <c r="H25" i="9" a="1"/>
  <c r="G57" i="9" a="1"/>
  <c r="D8" i="9" a="1"/>
  <c r="D146" i="9" a="1"/>
  <c r="D201" i="9" a="1"/>
  <c r="G179" i="9" a="1"/>
  <c r="D223" i="9" a="1"/>
  <c r="D53" i="9" a="1"/>
  <c r="C25" i="9" a="1"/>
  <c r="F192" i="9" a="1"/>
  <c r="D61" i="9" a="1"/>
  <c r="D118" i="9" a="1"/>
  <c r="M201" i="9" a="1"/>
  <c r="M187" i="9" a="1"/>
  <c r="D186" i="9" a="1"/>
  <c r="D183" i="9" a="1"/>
  <c r="E145" i="9" a="1"/>
  <c r="D36" i="9" a="1"/>
  <c r="E91" i="9" a="1"/>
  <c r="G45" i="9" a="1"/>
  <c r="E267" i="9" a="1"/>
  <c r="C255" i="9" a="1"/>
  <c r="D265" i="9" a="1"/>
  <c r="D266" i="9" a="1"/>
  <c r="D237" i="9" a="1"/>
  <c r="H38" i="9" a="1"/>
  <c r="G111" i="9" a="1"/>
  <c r="D89" i="9" a="1"/>
  <c r="F110" i="9" a="1"/>
  <c r="M11" i="9" a="1"/>
  <c r="D75" i="9" a="1"/>
  <c r="C79" i="9" a="1"/>
  <c r="G193" i="9" a="1"/>
  <c r="D11" i="9" a="1"/>
  <c r="G139" i="9" a="1"/>
  <c r="D184" i="9" a="1"/>
  <c r="D24" i="9" a="1"/>
  <c r="H147" i="9" a="1"/>
  <c r="H79" i="9" a="1"/>
  <c r="H39" i="9" a="1"/>
  <c r="D197" i="9" a="1"/>
  <c r="G233" i="9" a="1"/>
  <c r="E37" i="9" a="1"/>
  <c r="E51" i="9" a="1"/>
  <c r="H241" i="9" a="1"/>
  <c r="C65" i="9" a="1"/>
  <c r="D130" i="9" a="1"/>
  <c r="D200" i="9" a="1"/>
  <c r="D103" i="9" a="1"/>
  <c r="D50" i="9" a="1"/>
  <c r="D212" i="9" a="1"/>
  <c r="D78" i="9" a="1"/>
  <c r="D64" i="9" a="1"/>
  <c r="D187" i="9" a="1"/>
  <c r="D104" i="9" a="1"/>
  <c r="G99" i="9" a="1"/>
  <c r="H187" i="9" a="1"/>
  <c r="D254" i="9" a="1"/>
  <c r="M133" i="9" a="1"/>
  <c r="D76" i="9" a="1"/>
  <c r="D25" i="9" a="1"/>
  <c r="H30" i="9" a="1"/>
  <c r="E105" i="9" a="1"/>
  <c r="G3" i="9" a="1"/>
  <c r="H9" i="9" a="1"/>
  <c r="C53" i="9" a="1"/>
  <c r="D22" i="9" a="1"/>
  <c r="D143" i="9" a="1"/>
  <c r="D161" i="9" a="1"/>
  <c r="E225" i="9" a="1"/>
  <c r="C119" i="9" a="1"/>
  <c r="D157" i="9" a="1"/>
  <c r="D132" i="9" a="1"/>
  <c r="E77" i="9" a="1"/>
  <c r="D160" i="9" a="1"/>
  <c r="C201" i="9" a="1"/>
  <c r="E131" i="9" a="1"/>
  <c r="M227" i="9" a="1"/>
  <c r="D227" i="9" a="1"/>
  <c r="E253" i="9" a="1"/>
  <c r="C173" i="9" a="1"/>
  <c r="F152" i="9" a="1"/>
  <c r="D268" i="9" a="1"/>
  <c r="H11" i="9" a="1"/>
  <c r="D240" i="9" a="1"/>
  <c r="M39" i="9" a="1"/>
  <c r="H53" i="9" a="1"/>
  <c r="E239" i="9" a="1"/>
  <c r="H133" i="9" a="1"/>
  <c r="D144" i="9" a="1"/>
  <c r="D269" i="9" a="1"/>
  <c r="M215" i="9" a="1"/>
  <c r="F246" i="9" a="1"/>
  <c r="D92" i="9" a="1"/>
  <c r="C39" i="9" a="1"/>
  <c r="H269" i="9" a="1"/>
  <c r="D21" i="9" a="1"/>
  <c r="D35" i="9" a="1"/>
  <c r="D215" i="9" a="1"/>
  <c r="D211" i="9" a="1"/>
  <c r="H93" i="9" a="1"/>
  <c r="M107" i="9" a="1"/>
  <c r="G31" i="9" a="1"/>
  <c r="M269" i="9" a="1"/>
  <c r="E159" i="9" a="1"/>
  <c r="D169" i="9" a="1"/>
  <c r="E23" i="9" a="1"/>
  <c r="H10" i="9" a="1"/>
  <c r="C227" i="9" a="1"/>
  <c r="C133" i="9" a="1"/>
  <c r="D49" i="9" a="1"/>
  <c r="G17" i="9" a="1"/>
  <c r="D173" i="9" a="1"/>
  <c r="D39" i="9" a="1"/>
  <c r="D79" i="9" a="1"/>
  <c r="D65" i="9" a="1"/>
  <c r="C107" i="9" a="1"/>
  <c r="D226" i="9" a="1"/>
  <c r="H227" i="9" a="1"/>
  <c r="D214" i="9" a="1"/>
  <c r="H107" i="9" a="1"/>
  <c r="M119" i="9" a="1"/>
  <c r="M147" i="9" a="1"/>
  <c r="H215" i="9" a="1"/>
  <c r="M255" i="9" a="1"/>
  <c r="F206" i="9" a="1"/>
  <c r="G219" i="9" a="1"/>
  <c r="F218" i="9" a="1"/>
  <c r="F84" i="9" a="1"/>
  <c r="D10" i="9" a="1"/>
  <c r="I5" i="30" a="1"/>
  <c r="M53" i="9" a="1"/>
  <c r="G85" i="9" a="1"/>
  <c r="D119" i="9" a="1"/>
  <c r="H201" i="9" a="1"/>
  <c r="D106" i="9" a="1"/>
  <c r="G71" i="9" a="1"/>
  <c r="F44" i="9" a="1"/>
  <c r="E213" i="9" a="1"/>
  <c r="C147" i="9" a="1"/>
  <c r="C187" i="9" a="1"/>
  <c r="D238" i="9" a="1"/>
  <c r="M65" i="9" a="1"/>
  <c r="E9" i="9" a="1"/>
  <c r="H2" i="9" a="1"/>
  <c r="D241" i="9" a="1"/>
  <c r="E185" i="9" a="1"/>
  <c r="M241" i="9" a="1"/>
  <c r="H16" i="9" a="1"/>
  <c r="D90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225" i="9" a="1"/>
  <c r="H37" i="9" a="1"/>
  <c r="H185" i="9" a="1"/>
  <c r="H117" i="9" a="1"/>
  <c r="H105" i="9" a="1"/>
  <c r="H239" i="9" a="1"/>
  <c r="H213" i="9" a="1"/>
  <c r="H171" i="9" a="1"/>
  <c r="H77" i="9" a="1"/>
  <c r="D4" i="9" a="1"/>
  <c r="H267" i="9" a="1"/>
  <c r="H199" i="9" a="1"/>
  <c r="H63" i="9" a="1"/>
  <c r="H253" i="9" a="1"/>
  <c r="I19" i="9" a="1"/>
  <c r="H23" i="9" a="1"/>
  <c r="H131" i="9" a="1"/>
  <c r="I33" i="9" a="1"/>
  <c r="H91" i="9" a="1"/>
  <c r="H145" i="9" a="1"/>
  <c r="H159" i="9" a="1"/>
  <c r="H51" i="9" a="1"/>
  <c r="D18" i="9" a="1"/>
  <c r="D32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74" i="9" a="1"/>
  <c r="D48" i="9" a="1"/>
  <c r="D34" i="9" a="1"/>
  <c r="D60" i="9" a="1"/>
  <c r="M253" i="9" l="1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102" i="9" a="1"/>
  <c r="D20" i="9" a="1"/>
  <c r="D102" i="9" l="1"/>
  <c r="M102" i="9" s="1"/>
  <c r="D88" i="9"/>
  <c r="M88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01" i="9" l="1"/>
  <c r="M101" i="9" s="1"/>
  <c r="D87" i="9"/>
  <c r="M87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D18" i="15"/>
  <c r="U18" i="15" s="1"/>
  <c r="D19" i="15"/>
  <c r="U19" i="15" s="1"/>
  <c r="D20" i="15"/>
  <c r="D21" i="15"/>
  <c r="U21" i="15" s="1"/>
  <c r="D22" i="15"/>
  <c r="D23" i="15"/>
  <c r="D24" i="15"/>
  <c r="U24" i="15" s="1"/>
  <c r="D25" i="15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17" i="15" l="1"/>
  <c r="U16" i="15"/>
  <c r="U14" i="15"/>
  <c r="U27" i="15"/>
  <c r="L11" i="15"/>
  <c r="U25" i="15"/>
  <c r="L17" i="15"/>
  <c r="U20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54" i="9" a="1"/>
  <c r="H186" i="9" a="1"/>
  <c r="H226" i="9" a="1"/>
  <c r="H118" i="9" a="1"/>
  <c r="H64" i="9" a="1"/>
  <c r="H214" i="9" a="1"/>
  <c r="H240" i="9" a="1"/>
  <c r="H160" i="9" a="1"/>
  <c r="H52" i="9" a="1"/>
  <c r="H146" i="9" a="1"/>
  <c r="H106" i="9" a="1"/>
  <c r="H200" i="9" a="1"/>
  <c r="H78" i="9" a="1"/>
  <c r="H92" i="9" a="1"/>
  <c r="H172" i="9" a="1"/>
  <c r="H268" i="9" a="1"/>
  <c r="H132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9" i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48" i="9" a="1"/>
  <c r="D234" i="9" a="1"/>
  <c r="D208" i="9" a="1"/>
  <c r="D166" i="9" a="1"/>
  <c r="D154" i="9" a="1"/>
  <c r="D112" i="9" a="1"/>
  <c r="D140" i="9" a="1"/>
  <c r="D180" i="9" a="1"/>
  <c r="D262" i="9" a="1"/>
  <c r="D194" i="9" a="1"/>
  <c r="D220" i="9" a="1"/>
  <c r="D126" i="9" a="1"/>
  <c r="I183" i="9" a="1"/>
  <c r="I35" i="9" a="1"/>
  <c r="I89" i="9" a="1"/>
  <c r="I237" i="9" a="1"/>
  <c r="I221" i="9" a="1"/>
  <c r="I265" i="9" a="1"/>
  <c r="I167" i="9" a="1"/>
  <c r="I143" i="9" a="1"/>
  <c r="I211" i="9" a="1"/>
  <c r="I47" i="9" a="1"/>
  <c r="I251" i="9" a="1"/>
  <c r="I129" i="9" a="1"/>
  <c r="I181" i="9" a="1"/>
  <c r="D58" i="9" a="1"/>
  <c r="I103" i="9" a="1"/>
  <c r="I115" i="9" a="1"/>
  <c r="I87" i="9" a="1"/>
  <c r="I7" i="9" a="1"/>
  <c r="I157" i="9" a="1"/>
  <c r="D100" i="9" a="1"/>
  <c r="D46" i="9" a="1"/>
  <c r="I127" i="9" a="1"/>
  <c r="I209" i="9" a="1"/>
  <c r="I113" i="9" a="1"/>
  <c r="I49" i="9" a="1"/>
  <c r="I141" i="9" a="1"/>
  <c r="I169" i="9" a="1"/>
  <c r="I195" i="9" a="1"/>
  <c r="I249" i="9" a="1"/>
  <c r="I155" i="9" a="1"/>
  <c r="D72" i="9" a="1"/>
  <c r="I263" i="9" a="1"/>
  <c r="I59" i="9" a="1"/>
  <c r="I21" i="9" a="1"/>
  <c r="I223" i="9" a="1"/>
  <c r="D86" i="9" a="1"/>
  <c r="I101" i="9" a="1"/>
  <c r="I73" i="9" a="1"/>
  <c r="I61" i="9" a="1"/>
  <c r="I235" i="9" a="1"/>
  <c r="I197" i="9" a="1"/>
  <c r="I7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AN18" i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246" i="9" a="1"/>
  <c r="D138" i="9" a="1"/>
  <c r="D192" i="9" a="1"/>
  <c r="H138" i="9" a="1"/>
  <c r="D218" i="9" a="1"/>
  <c r="H232" i="9" a="1"/>
  <c r="H192" i="9" a="1"/>
  <c r="D178" i="9" a="1"/>
  <c r="D30" i="9" a="1"/>
  <c r="D164" i="9" a="1"/>
  <c r="H178" i="9" a="1"/>
  <c r="D206" i="9" a="1"/>
  <c r="D260" i="9" a="1"/>
  <c r="H152" i="9" a="1"/>
  <c r="H206" i="9" a="1"/>
  <c r="H98" i="9" a="1"/>
  <c r="D232" i="9" a="1"/>
  <c r="D246" i="9" a="1"/>
  <c r="D152" i="9" a="1"/>
  <c r="H44" i="9" a="1"/>
  <c r="H56" i="9" a="1"/>
  <c r="H84" i="9" a="1"/>
  <c r="D124" i="9" a="1"/>
  <c r="H110" i="9" a="1"/>
  <c r="D110" i="9" a="1"/>
  <c r="H124" i="9" a="1"/>
  <c r="H164" i="9" a="1"/>
  <c r="H260" i="9" a="1"/>
  <c r="D16" i="9" a="1"/>
  <c r="H70" i="9" a="1"/>
  <c r="D98" i="9" a="1"/>
  <c r="D70" i="9" a="1"/>
  <c r="H218" i="9" a="1"/>
  <c r="D84" i="9" a="1"/>
  <c r="D44" i="9" a="1"/>
  <c r="D56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<sst xmlns="http://schemas.openxmlformats.org/spreadsheetml/2006/main" count="4540" uniqueCount="2624">
  <si>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</si>
  <si>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</si>
  <si>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</si>
  <si>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</si>
  <si>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</si>
  <si>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</si>
  <si>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</si>
  <si>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</si>
  <si>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</si>
  <si>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</si>
  <si>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</si>
  <si>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</si>
  <si>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</si>
  <si>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</si>
  <si>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</si>
  <si>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</si>
  <si>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</si>
  <si>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</si>
  <si>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</si>
  <si>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</si>
  <si>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</si>
  <si>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</si>
  <si>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</si>
  <si>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</si>
  <si>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</si>
  <si>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</si>
  <si>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</si>
  <si>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</si>
  <si>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</si>
  <si>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</si>
  <si>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</si>
  <si>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</si>
  <si>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</si>
  <si>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</si>
  <si>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</si>
  <si>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</si>
  <si>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</si>
  <si>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</si>
  <si>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</si>
  <si>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</si>
  <si>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</si>
  <si>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</si>
  <si>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</si>
  <si>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</si>
  <si>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</si>
  <si>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</si>
  <si>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</si>
  <si>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</si>
  <si>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</si>
  <si>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</si>
  <si>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</si>
  <si>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</si>
  <si>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</si>
  <si>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</si>
  <si>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</si>
  <si>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</si>
  <si>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</si>
  <si>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</si>
  <si>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</si>
  <si>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</si>
  <si>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</si>
  <si>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</si>
  <si>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</si>
  <si>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</si>
  <si>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</si>
  <si>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</si>
  <si>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</si>
  <si>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</si>
  <si>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</si>
  <si>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</si>
  <si>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</si>
  <si>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</si>
  <si>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</si>
  <si>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</si>
  <si>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</si>
  <si>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</si>
  <si>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</si>
  <si>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</si>
  <si>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</si>
  <si>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</si>
  <si>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</si>
  <si>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</si>
  <si>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</si>
  <si>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</si>
  <si>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</si>
  <si>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</si>
  <si>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</si>
  <si>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</si>
  <si>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</si>
  <si>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</si>
  <si>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</si>
  <si>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</si>
  <si>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</si>
  <si>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</si>
  <si>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</si>
  <si>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</si>
  <si>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</si>
  <si>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</si>
  <si>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</si>
  <si>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</si>
  <si>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</si>
  <si>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</si>
  <si>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</si>
  <si>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</si>
  <si>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</si>
  <si>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</si>
  <si>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</si>
  <si>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</si>
  <si>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</si>
  <si>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</si>
  <si>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</si>
  <si>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</si>
  <si>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</si>
  <si>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</si>
  <si>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</si>
  <si>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</si>
  <si>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</si>
  <si>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</si>
  <si>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</si>
  <si>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</si>
  <si>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</si>
  <si>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</si>
  <si>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</si>
  <si>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</si>
  <si>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</si>
  <si>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</si>
  <si>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</si>
  <si>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</si>
  <si>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</si>
  <si>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</si>
  <si>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</si>
  <si>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</si>
  <si>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</si>
  <si>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</si>
  <si>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</si>
  <si>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</si>
  <si>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</si>
  <si>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</si>
  <si>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</si>
  <si>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</si>
  <si>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</si>
  <si>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</si>
  <si>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</si>
  <si>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</si>
  <si>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</si>
  <si>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</si>
  <si>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</si>
  <si>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</si>
  <si>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</si>
  <si>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</si>
  <si>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</si>
  <si>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</si>
  <si>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</si>
  <si>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</si>
  <si>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</si>
  <si>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</si>
  <si>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</si>
  <si>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</si>
  <si>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</si>
  <si>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</si>
  <si>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</si>
  <si>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</si>
  <si>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</si>
  <si>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</si>
  <si>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</si>
  <si>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</si>
  <si>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</si>
  <si>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</si>
  <si>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</si>
  <si>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</si>
  <si>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</si>
  <si>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</si>
  <si>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</si>
  <si>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</si>
  <si>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</si>
  <si>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</si>
  <si>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</si>
  <si>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</si>
  <si>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</si>
  <si>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</si>
  <si>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</si>
  <si>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</si>
  <si>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</si>
  <si>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</si>
  <si>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</si>
  <si>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</si>
  <si>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</si>
  <si>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</si>
  <si>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</si>
  <si>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</si>
  <si>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</si>
  <si>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</si>
  <si>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</si>
  <si>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</si>
  <si>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</si>
  <si>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</si>
  <si>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</si>
  <si>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</si>
  <si>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</si>
  <si>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</si>
  <si>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</si>
  <si>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</si>
  <si>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</si>
  <si>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</si>
  <si>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</si>
  <si>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</si>
  <si>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</si>
  <si>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</si>
  <si>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</si>
  <si>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</si>
  <si>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</si>
  <si>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</si>
  <si>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</si>
  <si>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</si>
  <si>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</si>
  <si>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</si>
  <si>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</si>
  <si>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</si>
  <si>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</si>
  <si>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</si>
  <si>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</si>
  <si>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</si>
  <si>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</si>
  <si>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</si>
  <si>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</si>
  <si>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</si>
  <si>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</si>
  <si>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</si>
  <si>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</si>
  <si>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</si>
  <si>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</si>
  <si>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</si>
  <si>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</si>
  <si>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</si>
  <si>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</si>
  <si>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</si>
  <si>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</si>
  <si>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</si>
  <si>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</si>
  <si>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</si>
  <si>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</si>
  <si>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</si>
  <si>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</si>
  <si>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</si>
  <si>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</si>
  <si>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</si>
  <si>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</si>
  <si>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</si>
  <si>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</si>
  <si>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</si>
  <si>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</si>
  <si>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</si>
  <si>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</si>
  <si>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</si>
  <si>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</si>
  <si>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</si>
  <si>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</si>
  <si>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</si>
  <si>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</si>
  <si>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</si>
  <si>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</si>
  <si>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</si>
  <si>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</si>
  <si>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</si>
  <si>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</si>
  <si>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</si>
  <si>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</si>
  <si>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</si>
  <si>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</si>
  <si>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</si>
  <si>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</si>
  <si>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</si>
  <si>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</si>
  <si>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</si>
  <si>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</si>
  <si>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</si>
  <si>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</si>
  <si>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</si>
  <si>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</si>
  <si>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</si>
  <si>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</si>
  <si>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</si>
  <si>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</si>
  <si>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</si>
  <si>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</si>
  <si>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</si>
  <si>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</si>
  <si>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</si>
  <si>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</si>
  <si>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</si>
  <si>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</si>
  <si>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</si>
  <si>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</si>
  <si>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</si>
  <si>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</si>
  <si>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</si>
  <si>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</si>
  <si>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</si>
  <si>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</si>
  <si>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</si>
  <si>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</si>
  <si>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</si>
  <si>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</si>
  <si>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</si>
  <si>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</si>
  <si>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</si>
  <si>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</si>
  <si>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</si>
  <si>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</si>
  <si>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</si>
  <si>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</si>
  <si>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</si>
  <si>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</si>
  <si>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</si>
  <si>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</si>
  <si>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</si>
  <si>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</si>
  <si>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</si>
  <si>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</si>
  <si>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</si>
  <si>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</si>
  <si>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</si>
  <si>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</si>
  <si>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</si>
  <si>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</si>
  <si>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</si>
  <si>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</si>
  <si>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</si>
  <si>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</si>
  <si>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</si>
  <si>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</si>
  <si>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</si>
  <si>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</si>
  <si>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</si>
  <si>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</si>
  <si>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</si>
  <si>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</si>
  <si>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</si>
  <si>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</si>
  <si>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</si>
  <si>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</si>
  <si>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</si>
  <si>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</si>
  <si>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</si>
  <si>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</si>
  <si>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</si>
  <si>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</si>
  <si>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</si>
  <si>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</si>
  <si>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</si>
  <si>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</si>
  <si>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</si>
  <si>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</si>
  <si>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</si>
  <si>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</si>
  <si>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</si>
  <si>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</si>
  <si>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</si>
  <si>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</si>
  <si>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</si>
  <si>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</si>
  <si>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</si>
  <si>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</si>
  <si>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</si>
  <si>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</si>
  <si>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</si>
  <si>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</si>
  <si>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</si>
  <si>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</si>
  <si>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</si>
  <si>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</si>
  <si>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</si>
  <si>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</si>
  <si>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</si>
  <si>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</si>
  <si>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</si>
  <si>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</si>
  <si>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</si>
  <si>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</si>
  <si>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</si>
  <si>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</si>
  <si>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</si>
  <si>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</si>
  <si>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</si>
  <si>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</si>
  <si>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</si>
  <si>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</si>
  <si>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</si>
  <si>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</si>
  <si>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</si>
  <si>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</si>
  <si>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</si>
  <si>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</si>
  <si>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</si>
  <si>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</si>
  <si>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</si>
  <si>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</si>
  <si>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</si>
  <si>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</si>
  <si>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</si>
  <si>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</si>
  <si>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</si>
  <si>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</si>
  <si>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</si>
  <si>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</si>
  <si>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</si>
  <si>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</si>
  <si>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</si>
  <si>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</si>
  <si>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</si>
  <si>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</si>
  <si>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</si>
  <si>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</si>
  <si>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</si>
  <si>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</si>
  <si>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</si>
  <si>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</si>
  <si>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</si>
  <si>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</si>
  <si>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</si>
  <si>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</si>
  <si>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</si>
  <si>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</si>
  <si>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</si>
  <si>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</si>
  <si>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</si>
  <si>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</si>
  <si>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</si>
  <si>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</si>
  <si>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</si>
  <si>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</si>
  <si>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</si>
  <si>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</si>
  <si>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</si>
  <si>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</si>
  <si>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</si>
  <si>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</si>
  <si>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</si>
  <si>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</si>
  <si>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</si>
  <si>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</si>
  <si>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</si>
  <si>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</si>
  <si>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</si>
  <si>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</si>
  <si>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</si>
  <si>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</si>
  <si>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</si>
  <si>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</si>
  <si>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</si>
  <si>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</si>
  <si>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</si>
  <si>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</si>
  <si>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</si>
  <si>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</si>
  <si>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</si>
  <si>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</si>
  <si>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</si>
  <si>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</si>
  <si>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</si>
  <si>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</si>
  <si>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</si>
  <si>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</si>
  <si>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</si>
  <si>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</si>
  <si>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</si>
  <si>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</si>
  <si>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</si>
  <si>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</si>
  <si>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</si>
  <si>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</si>
  <si>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</si>
  <si>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</si>
  <si>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</si>
  <si>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</si>
  <si>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</si>
  <si>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</si>
  <si>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</si>
  <si>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</si>
  <si>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</si>
  <si>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</si>
  <si>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</si>
  <si>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</si>
  <si>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</si>
  <si>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</si>
  <si>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</si>
  <si>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</si>
  <si>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</si>
  <si>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</si>
  <si>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</si>
  <si>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</si>
  <si>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</si>
  <si>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</si>
  <si>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</si>
  <si>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</si>
  <si>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</si>
  <si>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</si>
  <si>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</si>
  <si>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</si>
  <si>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</si>
  <si>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</si>
  <si>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</si>
  <si>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</si>
  <si>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</si>
  <si>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</si>
  <si>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</si>
  <si>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</si>
  <si>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</si>
  <si>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</si>
  <si>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</si>
  <si>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</si>
  <si>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</si>
  <si>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</si>
  <si>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</si>
  <si>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</si>
  <si>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</si>
  <si>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</si>
  <si>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</si>
  <si>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</si>
  <si>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</si>
  <si>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</si>
  <si>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</si>
  <si>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</si>
  <si>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</si>
  <si>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</si>
  <si>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</si>
  <si>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</si>
  <si>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</si>
  <si>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</si>
  <si>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</si>
  <si>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</si>
  <si>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</si>
  <si>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</si>
  <si>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</si>
  <si>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</si>
  <si>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</si>
  <si>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</si>
  <si>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</si>
  <si>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</si>
  <si>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</si>
  <si>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</si>
  <si>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</si>
  <si>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</si>
  <si>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</si>
  <si>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</si>
  <si>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</si>
  <si>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</si>
  <si>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</si>
  <si>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</si>
  <si>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</si>
  <si>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</si>
  <si>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</si>
  <si>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</si>
  <si>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</si>
  <si>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</si>
  <si>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</si>
  <si>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</si>
  <si>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</si>
  <si>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</si>
  <si>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</si>
  <si>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</si>
  <si>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</si>
  <si>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</si>
  <si>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</si>
  <si>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</si>
  <si>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</si>
  <si>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</si>
  <si>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</si>
  <si>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</si>
  <si>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</si>
  <si>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</si>
  <si>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</si>
  <si>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</si>
  <si>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</si>
  <si>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</si>
  <si>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</si>
  <si>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</si>
  <si>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</si>
  <si>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</si>
  <si>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</si>
  <si>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</si>
  <si>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</si>
  <si>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</si>
  <si>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</si>
  <si>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</si>
  <si>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</si>
  <si>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</si>
  <si>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</si>
  <si>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</si>
  <si>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</si>
  <si>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</si>
  <si>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</si>
  <si>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</si>
  <si>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</si>
  <si>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</si>
  <si>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</si>
  <si>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</si>
  <si>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</si>
  <si>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</si>
  <si>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</si>
  <si>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</si>
  <si>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</si>
  <si>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</si>
  <si>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</si>
  <si>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</si>
  <si>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</si>
  <si>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</si>
  <si>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</si>
  <si>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</si>
  <si>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</si>
  <si>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</si>
  <si>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</si>
  <si>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</si>
  <si>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</si>
  <si>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</si>
  <si>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</si>
  <si>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</si>
  <si>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</si>
  <si>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</si>
  <si>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</si>
  <si>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</si>
  <si>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</si>
  <si>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</si>
  <si>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</si>
  <si>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</si>
  <si>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</si>
  <si>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</si>
  <si>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</si>
  <si>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</si>
  <si>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</si>
  <si>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</si>
  <si>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</si>
  <si>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</si>
  <si>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</si>
  <si>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</si>
  <si>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</si>
  <si>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</si>
  <si>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</si>
  <si>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</si>
  <si>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</si>
  <si>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</si>
  <si>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</si>
  <si>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</si>
  <si>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</si>
  <si>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</si>
  <si>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</si>
  <si>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</si>
  <si>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</si>
  <si>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</si>
  <si>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</si>
  <si>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</si>
  <si>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</si>
  <si>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</si>
  <si>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</si>
  <si>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</si>
  <si>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</si>
  <si>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</si>
  <si>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</si>
  <si>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</si>
  <si>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</si>
  <si>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</si>
  <si>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</si>
  <si>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</si>
  <si>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</si>
  <si>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</si>
  <si>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</si>
  <si>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</si>
  <si>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</si>
  <si>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</si>
  <si>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</si>
  <si>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</si>
  <si>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</si>
  <si>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</si>
  <si>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</si>
  <si>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</si>
  <si>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</si>
  <si>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</si>
  <si>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</si>
  <si>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</si>
  <si>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</si>
  <si>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</si>
  <si>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</si>
  <si>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</si>
  <si>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</si>
  <si>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</si>
  <si>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</si>
  <si>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</si>
  <si>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</si>
  <si>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</si>
  <si>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</si>
  <si>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</si>
  <si>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</si>
  <si>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</si>
  <si>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</si>
  <si>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</si>
  <si>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</si>
  <si>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</si>
  <si>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</si>
  <si>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</si>
  <si>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</si>
  <si>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</si>
  <si>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</si>
  <si>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</si>
  <si>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</si>
  <si>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</si>
  <si>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</si>
  <si>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</si>
  <si>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</si>
  <si>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</si>
  <si>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</si>
  <si>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</si>
  <si>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</si>
  <si>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</si>
  <si>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</si>
  <si>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</si>
  <si>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</si>
  <si>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</si>
  <si>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</si>
  <si>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</si>
  <si>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</si>
  <si>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</si>
  <si>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</si>
  <si>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</si>
  <si>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</si>
  <si>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</si>
  <si>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</si>
  <si>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</si>
  <si>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</si>
  <si>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</si>
  <si>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</si>
  <si>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</si>
  <si>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</si>
  <si>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</si>
  <si>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</si>
  <si>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</si>
  <si>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</si>
  <si>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</si>
  <si>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</si>
  <si>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</si>
  <si>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</si>
  <si>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</si>
  <si>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</si>
  <si>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</si>
  <si>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</si>
  <si>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</si>
  <si>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</si>
  <si>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</si>
  <si>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</si>
  <si>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</si>
  <si>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</si>
  <si>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</si>
  <si>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</si>
  <si>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</si>
  <si>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</si>
  <si>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</si>
  <si>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</si>
  <si>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</si>
  <si>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</si>
  <si>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</si>
  <si>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</si>
  <si>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</si>
  <si>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</si>
  <si>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</si>
  <si>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</si>
  <si>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</si>
  <si>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</si>
  <si>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</si>
  <si>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</si>
  <si>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</si>
  <si>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</si>
  <si>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</si>
  <si>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</si>
  <si>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</si>
  <si>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</si>
  <si>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</si>
  <si>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</si>
  <si>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</si>
  <si>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</si>
  <si>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</si>
  <si>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</si>
  <si>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</si>
  <si>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</si>
  <si>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</si>
  <si>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</si>
  <si>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</si>
  <si>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</si>
  <si>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</si>
  <si>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</si>
  <si>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</si>
  <si>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</si>
  <si>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</si>
  <si>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</si>
  <si>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</si>
  <si>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</si>
  <si>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</si>
  <si>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</si>
  <si>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</si>
  <si>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</si>
  <si>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</si>
  <si>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</si>
  <si>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</si>
  <si>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</si>
  <si>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</si>
  <si>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</si>
  <si>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</si>
  <si>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</si>
  <si>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</si>
  <si>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</si>
  <si>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</si>
  <si>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</si>
  <si>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</si>
  <si>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</si>
  <si>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</si>
  <si>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</si>
  <si>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</si>
  <si>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</si>
  <si>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</si>
  <si>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</si>
  <si>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</si>
  <si>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</si>
  <si>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</si>
  <si>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</si>
  <si>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</si>
  <si>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</si>
  <si>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</si>
  <si>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</si>
  <si>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</si>
  <si>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</si>
  <si>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</si>
  <si>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</si>
  <si>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</si>
  <si>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</si>
  <si>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</si>
  <si>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</si>
  <si>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</si>
  <si>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</si>
  <si>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</si>
  <si>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</si>
  <si>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</si>
  <si>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</si>
  <si>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</si>
  <si>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</si>
  <si>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</si>
  <si>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</si>
  <si>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</si>
  <si>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</si>
  <si>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</si>
  <si>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</si>
  <si>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</si>
  <si>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</si>
  <si>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</si>
  <si>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</si>
  <si>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</si>
  <si>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</si>
  <si>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</si>
  <si>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</si>
  <si>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</si>
  <si>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</si>
  <si>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</si>
  <si>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</si>
  <si>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</si>
  <si>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</si>
  <si>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</si>
  <si>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</si>
  <si>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</si>
  <si>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</si>
  <si>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</si>
  <si>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</si>
  <si>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</si>
  <si>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</si>
  <si>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</si>
  <si>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</si>
  <si>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</si>
  <si>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</si>
  <si>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</si>
  <si>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</si>
  <si>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</si>
  <si>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</si>
  <si>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</si>
  <si>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</si>
  <si>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</si>
  <si>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</si>
  <si>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</si>
  <si>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</si>
  <si>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</si>
  <si>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</si>
  <si>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</si>
  <si>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</si>
  <si>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</si>
  <si>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</si>
  <si>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</si>
  <si>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</si>
  <si>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</si>
  <si>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</si>
  <si>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</si>
  <si>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</si>
  <si>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</si>
  <si>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</si>
  <si>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</si>
  <si>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</si>
  <si>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</si>
  <si>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</si>
  <si>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</si>
  <si>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</si>
  <si>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</si>
  <si>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</si>
  <si>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</si>
  <si>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</si>
  <si>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</si>
  <si>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</si>
  <si>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</si>
  <si>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</si>
  <si>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</si>
  <si>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</si>
  <si>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</si>
  <si>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</si>
  <si>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</si>
  <si>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</si>
  <si>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</si>
  <si>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</si>
  <si>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</si>
  <si>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</si>
  <si>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</si>
  <si>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</si>
  <si>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</si>
  <si>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</si>
  <si>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</si>
  <si>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</si>
  <si>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</si>
  <si>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</si>
  <si>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</si>
  <si>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</si>
  <si>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</si>
  <si>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</si>
  <si>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</si>
  <si>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</si>
  <si>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</si>
  <si>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</si>
  <si>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</si>
  <si>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</si>
  <si>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</si>
  <si>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</si>
  <si>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</si>
  <si>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</si>
  <si>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</si>
  <si>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</si>
  <si>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</si>
  <si>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</si>
  <si>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</si>
  <si>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</si>
  <si>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</si>
  <si>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</si>
  <si>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</si>
  <si>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</si>
  <si>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</si>
  <si>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</si>
  <si>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</si>
  <si>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</si>
  <si>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</si>
  <si>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</si>
  <si>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</si>
  <si>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</si>
  <si>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</si>
  <si>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</si>
  <si>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</si>
  <si>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</si>
  <si>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</si>
  <si>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</si>
  <si>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</si>
  <si>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</si>
  <si>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</si>
  <si>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</si>
  <si>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</si>
  <si>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</si>
  <si>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</si>
  <si>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</si>
  <si>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</si>
  <si>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</si>
  <si>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</si>
  <si>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</si>
  <si>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</si>
  <si>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</si>
  <si>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</si>
  <si>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</si>
  <si>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</si>
  <si>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</si>
  <si>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</si>
  <si>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</si>
  <si>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</si>
  <si>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</si>
  <si>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</si>
  <si>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</si>
  <si>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</si>
  <si>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</si>
  <si>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</si>
  <si>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</si>
  <si>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</si>
  <si>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</si>
  <si>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</si>
  <si>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</si>
  <si>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</si>
  <si>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</si>
  <si>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</si>
  <si>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</si>
  <si>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</si>
  <si>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</si>
  <si>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</si>
  <si>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</si>
  <si>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</si>
  <si>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</si>
  <si>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</si>
  <si>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</si>
  <si>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</si>
  <si>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</si>
  <si>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</si>
  <si>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</si>
  <si>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</si>
  <si>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</si>
  <si>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</si>
  <si>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</si>
  <si>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</si>
  <si>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</si>
  <si>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</si>
  <si>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</si>
  <si>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</si>
  <si>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</si>
  <si>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</si>
  <si>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</si>
  <si>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</si>
  <si>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</si>
  <si>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</si>
  <si>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</si>
  <si>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</si>
  <si>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</si>
  <si>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</si>
  <si>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</si>
  <si>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</si>
  <si>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</si>
  <si>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</si>
  <si>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</si>
  <si>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</si>
  <si>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</si>
  <si>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</si>
  <si>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</si>
  <si>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</si>
  <si>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</si>
  <si>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</si>
  <si>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</si>
  <si>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</si>
  <si>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</si>
  <si>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</si>
  <si>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</si>
  <si>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</si>
  <si>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</si>
  <si>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</si>
  <si>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</si>
  <si>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</si>
  <si>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</si>
  <si>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</si>
  <si>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</si>
  <si>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</si>
  <si>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</si>
  <si>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</si>
  <si>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</si>
  <si>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</si>
  <si>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</si>
  <si>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</si>
  <si>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</si>
  <si>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</si>
  <si>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</si>
  <si>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</si>
  <si>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</si>
  <si>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</si>
  <si>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</si>
  <si>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</si>
  <si>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</si>
  <si>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</si>
  <si>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</si>
  <si>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</si>
  <si>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</si>
  <si>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</si>
  <si>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</si>
  <si>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</si>
  <si>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</si>
  <si>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</si>
  <si>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</si>
  <si>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</si>
  <si>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</si>
  <si>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</si>
  <si>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</si>
  <si>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</si>
  <si>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</si>
  <si>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</si>
  <si>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</si>
  <si>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</si>
  <si>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</si>
  <si>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</si>
  <si>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</si>
  <si>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</si>
  <si>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</si>
  <si>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</si>
  <si>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</si>
  <si>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</si>
  <si>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</si>
  <si>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</si>
  <si>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</si>
  <si>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</si>
  <si>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</si>
  <si>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</si>
  <si>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</si>
  <si>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</si>
  <si>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</si>
  <si>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</si>
  <si>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</si>
  <si>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</si>
  <si>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</si>
  <si>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</si>
  <si>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</si>
  <si>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</si>
  <si>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</si>
  <si>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</si>
  <si>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</si>
  <si>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</si>
  <si>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</si>
  <si>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</si>
  <si>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</si>
  <si>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</si>
  <si>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</si>
  <si>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</si>
  <si>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</si>
  <si>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</si>
  <si>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</si>
  <si>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</si>
  <si>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</si>
  <si>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</si>
  <si>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</si>
  <si>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</si>
  <si>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</si>
  <si>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</si>
  <si>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</si>
  <si>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</si>
  <si>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</si>
  <si>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</si>
  <si>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</si>
  <si>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</si>
  <si>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</si>
  <si>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</si>
  <si>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</si>
  <si>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</si>
  <si>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</si>
  <si>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</si>
  <si>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</si>
  <si>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</si>
  <si>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</si>
  <si>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</si>
  <si>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</si>
  <si>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</si>
  <si>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</si>
  <si>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</si>
  <si>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</si>
  <si>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</si>
  <si>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</si>
  <si>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</si>
  <si>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</si>
  <si>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</si>
  <si>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</si>
  <si>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</si>
  <si>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</si>
  <si>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</si>
  <si>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</si>
  <si>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</si>
  <si>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</si>
  <si>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</si>
  <si>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</si>
  <si>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</si>
  <si>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</si>
  <si>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</si>
  <si>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</si>
  <si>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</si>
  <si>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</si>
  <si>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</si>
  <si>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</si>
  <si>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</si>
  <si>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</si>
  <si>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</si>
  <si>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</si>
  <si>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</si>
  <si>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</si>
  <si>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</si>
  <si>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</si>
  <si>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</si>
  <si>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</si>
  <si>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</si>
  <si>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</si>
  <si>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</si>
  <si>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</si>
  <si>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</si>
  <si>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</si>
  <si>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</si>
  <si>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</si>
  <si>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</si>
  <si>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</si>
  <si>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</si>
  <si>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</si>
  <si>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</si>
  <si>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</si>
  <si>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</si>
  <si>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</si>
  <si>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</si>
  <si>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</si>
  <si>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</si>
  <si>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</si>
  <si>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</si>
  <si>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</si>
  <si>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</si>
  <si>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</si>
  <si>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</si>
  <si>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</si>
  <si>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</si>
  <si>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</si>
  <si>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</si>
  <si>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</si>
  <si>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</si>
  <si>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</si>
  <si>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</si>
  <si>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</si>
  <si>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</si>
  <si>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</si>
  <si>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</si>
  <si>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</si>
  <si>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</si>
  <si>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</si>
  <si>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</si>
  <si>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</si>
  <si>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</si>
  <si>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</si>
  <si>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</si>
  <si>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</si>
  <si>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</si>
  <si>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</si>
  <si>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</si>
  <si>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</si>
  <si>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</si>
  <si>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</si>
  <si>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</si>
  <si>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</si>
  <si>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</si>
  <si>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</si>
  <si>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</si>
  <si>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</si>
  <si>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</si>
  <si>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</si>
  <si>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</si>
  <si>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</si>
  <si>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</si>
  <si>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</si>
  <si>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</si>
  <si>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</si>
  <si>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</si>
  <si>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</si>
  <si>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</si>
  <si>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</si>
  <si>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</si>
  <si>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</si>
  <si>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</si>
  <si>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</si>
  <si>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</si>
  <si>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</si>
  <si>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</si>
  <si>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</si>
  <si>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</si>
  <si>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</si>
  <si>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</si>
  <si>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</si>
  <si>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</si>
  <si>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</si>
  <si>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</si>
  <si>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</si>
  <si>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</si>
  <si>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</si>
  <si>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</si>
  <si>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</si>
  <si>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</si>
  <si>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</si>
  <si>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</si>
  <si>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</si>
  <si>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</si>
  <si>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</si>
  <si>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</si>
  <si>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</si>
  <si>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</si>
  <si>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</si>
  <si>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</si>
  <si>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</si>
  <si>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</si>
  <si>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</si>
  <si>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</si>
  <si>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</si>
  <si>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</si>
  <si>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</si>
  <si>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</si>
  <si>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</si>
  <si>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</si>
  <si>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</si>
  <si>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</si>
  <si>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</si>
  <si>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</si>
  <si>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</si>
  <si>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</si>
  <si>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</si>
  <si>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</si>
  <si>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</si>
  <si>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</si>
  <si>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</si>
  <si>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</si>
  <si>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</si>
  <si>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</si>
  <si>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</si>
  <si>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</si>
  <si>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</si>
  <si>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</si>
  <si>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</si>
  <si>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</si>
  <si>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</si>
  <si>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</si>
  <si>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</si>
  <si>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</si>
  <si>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</si>
  <si>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</si>
  <si>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</si>
  <si>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</si>
  <si>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</si>
  <si>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</si>
  <si>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</si>
  <si>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</si>
  <si>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</si>
  <si>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</si>
  <si>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</si>
  <si>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</si>
  <si>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</si>
  <si>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</si>
  <si>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</si>
  <si>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</si>
  <si>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</si>
  <si>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</si>
  <si>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</si>
  <si>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</si>
  <si>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</si>
  <si>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</si>
  <si>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</si>
  <si>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</si>
  <si>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</si>
  <si>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</si>
  <si>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</si>
  <si>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</si>
  <si>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</si>
  <si>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</si>
  <si>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</si>
  <si>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</si>
  <si>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</si>
  <si>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</si>
  <si>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</si>
  <si>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</si>
  <si>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</si>
  <si>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</si>
  <si>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</si>
  <si>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</si>
  <si>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</si>
  <si>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</si>
  <si>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</si>
  <si>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</si>
  <si>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</si>
  <si>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</si>
  <si>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</si>
  <si>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</si>
  <si>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</si>
  <si>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</si>
  <si>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</si>
  <si>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</si>
  <si>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</si>
  <si>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</si>
  <si>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</si>
  <si>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</si>
  <si>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</si>
  <si>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</si>
  <si>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</si>
  <si>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</si>
  <si>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</si>
  <si>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</si>
  <si>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</si>
  <si>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</si>
  <si>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</si>
  <si>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</si>
  <si>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</si>
  <si>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</si>
  <si>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</si>
  <si>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</si>
  <si>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</si>
  <si>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</si>
  <si>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</si>
  <si>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</si>
  <si>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</si>
  <si>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</si>
  <si>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</si>
  <si>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</si>
  <si>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</si>
  <si>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</si>
  <si>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</si>
  <si>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</si>
  <si>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</si>
  <si>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</si>
  <si>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</si>
  <si>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</si>
  <si>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</si>
  <si>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</si>
  <si>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</si>
  <si>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</si>
  <si>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</si>
  <si>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</si>
  <si>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</si>
  <si>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</si>
  <si>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</si>
  <si>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</si>
  <si>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</si>
  <si>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</si>
  <si>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</si>
  <si>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</si>
  <si>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</si>
  <si>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</si>
  <si>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</si>
  <si>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</si>
  <si>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</si>
  <si>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</si>
  <si>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</si>
  <si>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</si>
  <si>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</si>
  <si>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</si>
  <si>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</si>
  <si>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</si>
  <si>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</si>
  <si>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</si>
  <si>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</si>
  <si>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</si>
  <si>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</si>
  <si>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</si>
  <si>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</si>
  <si>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</si>
  <si>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</si>
  <si>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</si>
  <si>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</si>
  <si>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</si>
  <si>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</si>
  <si>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</si>
  <si>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</si>
  <si>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</si>
  <si>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</si>
  <si>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</si>
  <si>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</si>
  <si>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</si>
  <si>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</si>
  <si>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</si>
  <si>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</si>
  <si>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</si>
  <si>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</si>
  <si>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</si>
  <si>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</si>
  <si>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</si>
  <si>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</si>
  <si>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</si>
  <si>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</si>
  <si>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</si>
  <si>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</si>
  <si>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</si>
  <si>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</si>
  <si>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</si>
  <si>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</si>
  <si>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</si>
  <si>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</si>
  <si>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</si>
  <si>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</si>
  <si>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</si>
  <si>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</si>
  <si>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</si>
  <si>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</si>
  <si>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</si>
  <si>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</si>
  <si>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</si>
  <si>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</si>
  <si>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</si>
  <si>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</si>
  <si>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</si>
  <si>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</si>
  <si>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</si>
  <si>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</si>
  <si>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</si>
  <si>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</si>
  <si>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</si>
  <si>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</si>
  <si>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</si>
  <si>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</si>
  <si>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</si>
  <si>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</si>
  <si>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</si>
  <si>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</si>
  <si>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</si>
  <si>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</si>
  <si>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</si>
  <si>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</si>
  <si>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</si>
  <si>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</si>
  <si>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</si>
  <si>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</si>
  <si>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</si>
  <si>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</si>
  <si>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</si>
  <si>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</si>
  <si>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</si>
  <si>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</si>
  <si>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</si>
  <si>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</si>
  <si>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</si>
  <si>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</si>
  <si>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</si>
  <si>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</si>
  <si>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</si>
  <si>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</si>
  <si>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</si>
  <si>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</si>
  <si>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</si>
  <si>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</si>
  <si>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</si>
  <si>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</si>
  <si>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</si>
  <si>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</si>
  <si>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</si>
  <si>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</si>
  <si>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</si>
  <si>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</si>
  <si>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</si>
  <si>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</si>
  <si>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</si>
  <si>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</si>
  <si>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</si>
  <si>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</si>
  <si>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</si>
  <si>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</si>
  <si>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</si>
  <si>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</si>
  <si>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</si>
  <si>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</si>
  <si>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</si>
  <si>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</si>
  <si>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</si>
  <si>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</si>
  <si>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</si>
  <si>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</si>
  <si>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</si>
  <si>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</si>
  <si>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</si>
  <si>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</si>
  <si>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</si>
  <si>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</si>
  <si>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</si>
  <si>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</si>
  <si>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</si>
  <si>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</si>
  <si>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</si>
  <si>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</si>
  <si>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</si>
  <si>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</si>
  <si>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</si>
  <si>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</si>
  <si>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</si>
  <si>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</si>
  <si>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</si>
  <si>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</si>
  <si>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</si>
  <si>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</si>
  <si>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</si>
  <si>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</si>
  <si>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</si>
  <si>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</si>
  <si>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</si>
  <si>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</si>
  <si>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</si>
  <si>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</si>
  <si>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</si>
  <si>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</si>
  <si>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</si>
  <si>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</si>
  <si>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</si>
  <si>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</si>
  <si>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</si>
  <si>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</si>
  <si>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</si>
  <si>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</si>
  <si>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</si>
  <si>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</si>
  <si>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</si>
  <si>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</si>
  <si>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</si>
  <si>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</si>
  <si>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</si>
  <si>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</si>
  <si>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</si>
  <si>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</si>
  <si>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</si>
  <si>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</si>
  <si>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</si>
  <si>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</si>
  <si>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</si>
  <si>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</si>
  <si>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</si>
  <si>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</si>
  <si>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</si>
  <si>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</si>
  <si>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</si>
  <si>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</si>
  <si>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</si>
  <si>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</si>
  <si>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</si>
  <si>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</si>
  <si>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</si>
  <si>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</si>
  <si>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</si>
  <si>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</si>
  <si>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</si>
  <si>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</si>
  <si>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</si>
  <si>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</si>
  <si>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</si>
  <si>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</si>
  <si>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</si>
  <si>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</si>
  <si>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</si>
  <si>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</si>
  <si>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</si>
  <si>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</si>
  <si>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</si>
  <si>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</si>
  <si>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</si>
  <si>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</si>
  <si>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</si>
  <si>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</si>
  <si>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</si>
  <si>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</si>
  <si>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</si>
  <si>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</si>
  <si>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</si>
  <si>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</si>
  <si>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</si>
  <si>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</si>
  <si>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</si>
  <si>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</si>
  <si>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</si>
  <si>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</si>
  <si>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</si>
  <si>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</si>
  <si>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</si>
  <si>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</si>
  <si>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</si>
  <si>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</si>
  <si>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</si>
  <si>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</si>
  <si>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</si>
  <si>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</si>
  <si>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</si>
  <si>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</si>
  <si>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</si>
  <si>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</si>
  <si>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</si>
  <si>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</si>
  <si>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</si>
  <si>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</si>
  <si>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</si>
  <si>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</si>
  <si>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</si>
  <si>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</si>
  <si>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</si>
  <si>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</si>
  <si>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</si>
  <si>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</si>
  <si>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</si>
  <si>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</si>
  <si>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</si>
  <si>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</si>
  <si>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</si>
  <si>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</si>
  <si>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</si>
  <si>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</si>
  <si>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</si>
  <si>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</si>
  <si>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</si>
  <si>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</si>
  <si>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</si>
  <si>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</si>
  <si>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</si>
  <si>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</si>
  <si>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</si>
  <si>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</si>
  <si>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</si>
  <si>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</si>
  <si>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</si>
  <si>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</si>
  <si>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</si>
  <si>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</si>
  <si>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</si>
  <si>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</si>
  <si>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</si>
  <si>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</si>
  <si>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</si>
  <si>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</si>
  <si>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</si>
  <si>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</si>
  <si>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</si>
  <si>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</si>
  <si>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</si>
  <si>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</si>
  <si>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</si>
  <si>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</si>
  <si>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</si>
  <si>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</si>
  <si>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</si>
  <si>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</si>
  <si>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</si>
  <si>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</si>
  <si>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</si>
  <si>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</si>
  <si>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</si>
  <si>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</si>
  <si>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</si>
  <si>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</si>
  <si>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</si>
  <si>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</si>
  <si>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</si>
  <si>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</si>
  <si>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</si>
  <si>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</si>
  <si>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</si>
  <si>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</si>
  <si>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</si>
  <si>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</si>
  <si>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</si>
  <si>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</si>
  <si>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</si>
  <si>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</si>
  <si>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</si>
  <si>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</si>
  <si>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</si>
  <si>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</si>
  <si>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</si>
  <si>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</si>
  <si>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</si>
  <si>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</si>
  <si>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</si>
  <si>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</si>
  <si>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</si>
  <si>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</si>
  <si>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</si>
  <si>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</si>
  <si>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</si>
  <si>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</si>
  <si>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</si>
  <si>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</si>
  <si>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</si>
  <si>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</si>
  <si>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</si>
  <si>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</si>
  <si>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</si>
  <si>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</si>
  <si>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</si>
  <si>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</si>
  <si>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</si>
  <si>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</si>
  <si>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</si>
  <si>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</si>
  <si>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</si>
  <si>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</si>
  <si>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</si>
  <si>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</si>
  <si>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</si>
  <si>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</si>
  <si>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</si>
  <si>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</si>
  <si>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</si>
  <si>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</si>
  <si>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</si>
  <si>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</si>
  <si>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</si>
  <si>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</si>
  <si>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</si>
  <si>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</si>
  <si>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</si>
  <si>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</si>
  <si>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</si>
  <si>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</si>
  <si>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</si>
  <si>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</si>
  <si>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</si>
  <si>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</si>
  <si>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</si>
  <si>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</si>
  <si>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</si>
  <si>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</si>
  <si>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</si>
  <si>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</si>
  <si>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</si>
  <si>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</si>
  <si>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</si>
  <si>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</si>
  <si>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</si>
  <si>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</si>
  <si>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</si>
  <si>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</si>
  <si>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</si>
  <si>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</si>
  <si>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</si>
  <si>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</si>
  <si>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</si>
  <si>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</si>
  <si>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</si>
  <si>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</si>
  <si>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</si>
  <si>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</si>
  <si>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</si>
  <si>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</si>
  <si>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</si>
  <si>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</si>
  <si>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</si>
  <si>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</si>
  <si>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</si>
  <si>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</si>
  <si>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</si>
  <si>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</si>
  <si>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</si>
  <si>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</si>
  <si>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</si>
  <si>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</si>
  <si>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</si>
  <si>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</si>
  <si>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</si>
  <si>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</si>
  <si>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</si>
  <si>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</si>
  <si>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</si>
  <si>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</si>
  <si>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</si>
  <si>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</si>
  <si>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</si>
  <si>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</si>
  <si>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</si>
  <si>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</si>
  <si>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</si>
  <si>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</si>
  <si>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</si>
  <si>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</si>
  <si>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</si>
  <si>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</si>
  <si>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</si>
  <si>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</si>
  <si>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</si>
  <si>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</si>
  <si>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</si>
  <si>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</si>
  <si>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</si>
  <si>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</si>
  <si>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</si>
  <si>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</si>
  <si>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</si>
  <si>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</si>
  <si>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</si>
  <si>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</si>
  <si>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</si>
  <si>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</si>
  <si>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</si>
  <si>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</si>
  <si>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</si>
  <si>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</si>
  <si>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</si>
  <si>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</si>
  <si>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</si>
  <si>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</si>
  <si>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</si>
  <si>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</si>
  <si>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</si>
  <si>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</si>
  <si>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</si>
  <si>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</si>
  <si>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</si>
  <si>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</si>
  <si>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</si>
  <si>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</si>
  <si>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</si>
  <si>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</si>
  <si>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</si>
  <si>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</si>
  <si>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</si>
  <si>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</si>
  <si>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</si>
  <si>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</si>
  <si>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</si>
  <si>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</si>
  <si>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</si>
  <si>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</si>
  <si>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</si>
  <si>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</si>
  <si>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</si>
  <si>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</si>
  <si>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</si>
  <si>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</si>
  <si>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</si>
  <si>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</si>
  <si>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</si>
  <si>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</si>
  <si>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</si>
  <si>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</si>
  <si>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</si>
  <si>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</si>
  <si>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</si>
  <si>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</si>
  <si>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</si>
  <si>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</si>
  <si>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</si>
  <si>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</si>
  <si>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</si>
  <si>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</si>
  <si>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</si>
  <si>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</si>
  <si>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</si>
  <si>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</si>
  <si>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</si>
  <si>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</si>
  <si>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</si>
  <si>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</si>
  <si>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</si>
  <si>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</si>
  <si>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</si>
  <si>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</si>
  <si>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</si>
  <si>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</si>
  <si>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</si>
  <si>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</si>
  <si>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</si>
  <si>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</si>
  <si>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</si>
  <si>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</si>
  <si>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</si>
  <si>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</si>
  <si>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</si>
  <si>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</si>
  <si>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</si>
  <si>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</si>
  <si>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</si>
  <si>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</si>
  <si>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</si>
  <si>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</si>
  <si>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</si>
  <si>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</si>
  <si>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</si>
  <si>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</si>
  <si>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</si>
  <si>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</si>
  <si>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</si>
  <si>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</si>
  <si>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</si>
  <si>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</si>
  <si>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</si>
  <si>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</si>
  <si>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</si>
  <si>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</si>
  <si>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</si>
  <si>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</si>
  <si>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</si>
  <si>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</si>
  <si>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</si>
  <si>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</si>
  <si>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</si>
  <si>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</si>
  <si>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</si>
  <si>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</si>
  <si>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</si>
  <si>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</si>
  <si>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</si>
  <si>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</si>
  <si>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</si>
  <si>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</si>
  <si>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</si>
  <si>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</si>
  <si>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</si>
  <si>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</si>
  <si>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</si>
  <si>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</si>
  <si>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</si>
  <si>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</si>
  <si>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</si>
  <si>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</si>
  <si>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</si>
  <si>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</si>
  <si>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</si>
  <si>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</si>
  <si>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</si>
  <si>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</si>
  <si>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</si>
  <si>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</si>
  <si>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</si>
  <si>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</si>
  <si>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</si>
  <si>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</si>
  <si>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</si>
  <si>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</si>
  <si>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</si>
  <si>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</si>
  <si>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</si>
  <si>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</si>
  <si>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</si>
  <si>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</si>
  <si>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</si>
  <si>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</si>
  <si>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</si>
  <si>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</si>
  <si>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</si>
  <si>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</si>
  <si>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</si>
  <si>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</si>
  <si>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</si>
  <si>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</si>
  <si>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</si>
  <si>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</si>
  <si>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</si>
  <si>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</si>
  <si>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</si>
  <si>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</si>
  <si>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</si>
  <si>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</si>
  <si>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</si>
  <si>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</si>
  <si>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</si>
  <si>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</si>
  <si>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</si>
  <si>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</si>
  <si>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</si>
  <si>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</si>
  <si>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</si>
  <si>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</si>
  <si>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</si>
  <si>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</si>
  <si>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</si>
  <si>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</si>
  <si>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</si>
  <si>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</si>
  <si>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</si>
  <si>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</si>
  <si>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</si>
  <si>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</si>
  <si>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</si>
  <si>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</si>
  <si>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</si>
  <si>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</si>
  <si>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</si>
  <si>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</si>
  <si>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</si>
  <si>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</si>
  <si>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</si>
  <si>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</si>
  <si>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</si>
  <si>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</si>
  <si>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</si>
  <si>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</si>
  <si>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</si>
  <si>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</si>
  <si>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</si>
  <si>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</si>
  <si>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</si>
  <si>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</si>
  <si>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</si>
  <si>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</si>
  <si>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</si>
  <si>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</si>
  <si>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</si>
  <si>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</si>
  <si>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</si>
  <si>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</si>
  <si>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</si>
  <si>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</si>
  <si>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</si>
  <si>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</si>
  <si>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</si>
  <si>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</si>
  <si>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</si>
  <si>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</si>
  <si>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</si>
  <si>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</si>
  <si>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</si>
  <si>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</si>
  <si>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</si>
  <si>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</si>
  <si>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</si>
  <si>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</si>
  <si>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</si>
  <si>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</si>
  <si>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</si>
  <si>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</si>
  <si>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</si>
  <si>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</si>
  <si>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</si>
  <si>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</si>
  <si>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</si>
  <si>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</si>
  <si>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</si>
  <si>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</si>
  <si>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</si>
  <si>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</si>
  <si>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</si>
  <si>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</si>
  <si>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</si>
  <si>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</si>
  <si>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</si>
  <si>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</si>
  <si>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</si>
  <si>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</si>
  <si>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</si>
  <si>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</si>
  <si>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</si>
  <si>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</si>
  <si>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</si>
  <si>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</si>
  <si>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</si>
  <si>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</si>
  <si>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</si>
  <si>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</si>
  <si>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</si>
  <si>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</si>
  <si>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</si>
  <si>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</si>
  <si>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</si>
  <si>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</si>
  <si>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</si>
  <si>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</si>
  <si>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</si>
  <si>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</si>
  <si>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</si>
  <si>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</si>
  <si>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</si>
  <si>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</si>
  <si>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</si>
  <si>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</si>
  <si>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</si>
  <si>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</si>
  <si>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</si>
  <si>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</si>
  <si>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</si>
  <si>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</si>
  <si>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</si>
  <si>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</si>
  <si>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</si>
  <si>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</si>
  <si>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</si>
  <si>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</si>
  <si>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</si>
  <si>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</si>
  <si>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</si>
  <si>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</si>
  <si>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</si>
  <si>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</si>
  <si>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</si>
  <si>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</si>
  <si>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</si>
  <si>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</si>
  <si>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</si>
  <si>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</si>
  <si>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</si>
  <si>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</si>
  <si>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</si>
  <si>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</si>
  <si>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</si>
  <si>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</si>
  <si>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</si>
  <si>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</si>
  <si>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</si>
  <si>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</si>
  <si>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</si>
  <si>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</si>
  <si>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</si>
  <si>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</si>
  <si>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</si>
  <si>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</si>
  <si>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</si>
  <si>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</si>
  <si>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</si>
  <si>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</si>
  <si>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</si>
  <si>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</si>
  <si>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</si>
  <si>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</si>
  <si>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</si>
  <si>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</si>
  <si>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</si>
  <si>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</si>
  <si>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</si>
  <si>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</si>
  <si>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</si>
  <si>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</si>
  <si>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</si>
  <si>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</si>
  <si>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</si>
  <si>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</si>
  <si>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</si>
  <si>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</si>
  <si>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</si>
  <si>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</si>
  <si>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</si>
  <si>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</si>
  <si>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</si>
  <si>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</si>
  <si>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</si>
  <si>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</si>
  <si>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</si>
  <si>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</si>
  <si>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</si>
  <si>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</si>
  <si>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</si>
  <si>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</si>
  <si>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</si>
  <si>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</si>
  <si>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</si>
  <si>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</si>
  <si>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</si>
  <si>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</si>
  <si>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</si>
  <si>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</si>
  <si>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</si>
  <si>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</si>
  <si>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</si>
  <si>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</si>
  <si>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</si>
  <si>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</si>
  <si>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</si>
  <si>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</si>
  <si>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</si>
  <si>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</si>
  <si>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</si>
  <si>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</si>
  <si>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</si>
  <si>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</si>
  <si>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</si>
  <si>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</si>
  <si>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</si>
  <si>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</si>
  <si>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</si>
  <si>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</si>
  <si>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</si>
  <si>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</si>
  <si>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</si>
  <si>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</si>
  <si>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</si>
  <si>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</si>
  <si>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</si>
  <si>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</si>
  <si>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</si>
  <si>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</si>
  <si>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</si>
  <si>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</si>
  <si>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</si>
  <si>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</si>
  <si>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</si>
  <si>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</si>
  <si>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</si>
  <si>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</si>
  <si>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</si>
  <si>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</si>
  <si>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</si>
  <si>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</si>
  <si>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</si>
  <si>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</si>
  <si>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</si>
  <si>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</si>
  <si>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</si>
  <si>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</si>
  <si>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</si>
  <si>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</si>
  <si>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</si>
  <si>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</si>
  <si>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</si>
  <si>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</si>
  <si>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</si>
  <si>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</si>
  <si>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</si>
  <si>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</si>
  <si>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</si>
  <si>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</si>
  <si>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</si>
  <si>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</si>
  <si>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</si>
  <si>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</si>
  <si>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</si>
  <si>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</si>
  <si>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</si>
  <si>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</si>
  <si>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</si>
  <si>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</si>
  <si>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</si>
  <si>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</si>
  <si>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</si>
  <si>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</si>
  <si>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</si>
  <si>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</si>
  <si>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</si>
  <si>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</si>
  <si>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</si>
  <si>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</si>
  <si>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</si>
  <si>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</si>
  <si>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</si>
  <si>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</si>
  <si>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</si>
  <si>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</si>
  <si>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</si>
  <si>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</si>
  <si>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</si>
  <si>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</si>
  <si>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</si>
  <si>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</si>
  <si>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</si>
  <si>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</si>
  <si>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</si>
  <si>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</si>
  <si>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</si>
  <si>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</si>
  <si>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</si>
  <si>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</si>
  <si>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</si>
  <si>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</si>
  <si>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</si>
  <si>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</si>
  <si>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</si>
  <si>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</si>
  <si>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</si>
  <si>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</si>
  <si>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</si>
  <si>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</si>
  <si>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</si>
  <si>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</si>
  <si>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</si>
  <si>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</si>
  <si>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</si>
  <si>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</si>
  <si>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</si>
  <si>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</si>
  <si>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</si>
  <si>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</si>
  <si>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</si>
  <si>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</si>
  <si>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</si>
  <si>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</si>
  <si>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</si>
  <si>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</si>
  <si>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</si>
  <si>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</si>
  <si>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</si>
  <si>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</si>
  <si>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</si>
  <si>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</si>
  <si>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</si>
  <si>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</si>
  <si>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</si>
  <si>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</si>
  <si>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</si>
  <si>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</si>
  <si>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</si>
  <si>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</si>
  <si>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</si>
  <si>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</si>
  <si>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</si>
  <si>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</si>
  <si>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</si>
  <si>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</si>
  <si>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</si>
  <si>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</si>
  <si>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</si>
  <si>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</si>
  <si>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</si>
  <si>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</si>
  <si>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</si>
  <si>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</si>
  <si>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</si>
  <si>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</si>
  <si>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</si>
  <si>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</si>
  <si>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</si>
  <si>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</si>
  <si>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</si>
  <si>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</si>
  <si>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</si>
  <si>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</si>
  <si>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</si>
  <si>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</si>
  <si>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</si>
  <si>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</si>
  <si>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</si>
  <si>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</si>
  <si>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</si>
  <si>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</si>
  <si>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</si>
  <si>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</si>
  <si>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</si>
  <si>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</si>
  <si>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</si>
  <si>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</si>
  <si>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</si>
  <si>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</si>
  <si>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</si>
  <si>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</si>
  <si>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</si>
  <si>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</si>
  <si>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</si>
  <si>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</si>
  <si>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</si>
  <si>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</si>
  <si>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</si>
  <si>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</si>
  <si>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</si>
  <si>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</si>
  <si>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</si>
  <si>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</si>
  <si>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</si>
  <si>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</si>
  <si>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</si>
  <si>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</si>
  <si>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</si>
  <si>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</si>
  <si>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</si>
  <si>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</si>
  <si>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</si>
  <si>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</si>
  <si>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</si>
  <si>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</si>
  <si>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</si>
  <si>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</si>
  <si>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</si>
  <si>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</si>
  <si>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</si>
  <si>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</si>
  <si>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</si>
  <si>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</si>
  <si>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</si>
  <si>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</si>
  <si>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</si>
  <si>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</si>
  <si>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</si>
  <si>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</si>
  <si>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</si>
  <si>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</si>
  <si>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</si>
  <si>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</si>
  <si>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</si>
  <si>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</si>
  <si>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</si>
  <si>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</si>
  <si>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</si>
  <si>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</si>
  <si>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</si>
  <si>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</si>
  <si>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</si>
  <si>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</si>
  <si>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</si>
  <si>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</si>
  <si>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</si>
  <si>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</si>
  <si>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</si>
  <si>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</si>
  <si>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</si>
  <si>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</si>
  <si>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</si>
  <si>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</si>
  <si>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</si>
  <si>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</si>
  <si>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</si>
  <si>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</si>
  <si>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</si>
  <si>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</si>
  <si>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</si>
  <si>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</si>
  <si>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</si>
  <si>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</si>
  <si>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</si>
  <si>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</si>
  <si>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</si>
  <si>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</si>
  <si>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</si>
  <si>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</si>
  <si>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</si>
  <si>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</si>
  <si>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</si>
  <si>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</si>
  <si>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</si>
  <si>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</si>
  <si>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</si>
  <si>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</si>
  <si>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</si>
  <si>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</si>
  <si>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</si>
  <si>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</si>
  <si>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</si>
  <si>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</si>
  <si>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</si>
  <si>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</si>
  <si>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</si>
  <si>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</si>
  <si>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</si>
  <si>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</si>
  <si>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</si>
  <si>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</si>
  <si>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</si>
  <si>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</si>
  <si>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</si>
  <si>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</si>
  <si>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</si>
  <si>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</si>
  <si>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</si>
  <si>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</si>
  <si>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</si>
  <si>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</si>
  <si>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</si>
  <si>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</si>
  <si>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</si>
  <si>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</si>
  <si>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</si>
  <si>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</si>
  <si>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</si>
  <si>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</si>
  <si>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</si>
  <si>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</si>
  <si>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</si>
  <si>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</si>
  <si>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</si>
  <si>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</si>
  <si>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</si>
  <si>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</si>
  <si>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</si>
  <si>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</si>
  <si>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</si>
  <si>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</si>
  <si>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</si>
  <si>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</si>
  <si>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</si>
  <si>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</si>
  <si>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</si>
  <si>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</si>
  <si>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</si>
  <si>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</si>
  <si>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</si>
  <si>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</si>
  <si>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</si>
  <si>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</si>
  <si>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</si>
  <si>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</si>
  <si>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</si>
  <si>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</si>
  <si>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</si>
  <si>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</si>
  <si>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</si>
  <si>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</si>
  <si>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</si>
  <si>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</si>
  <si>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</si>
  <si>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</si>
  <si>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</si>
  <si>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</si>
  <si>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</si>
  <si>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</si>
  <si>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</si>
  <si>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</si>
  <si>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</si>
  <si>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</si>
  <si>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</si>
  <si>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</si>
  <si>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</si>
  <si>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</si>
  <si>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</si>
  <si>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</si>
  <si>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</si>
  <si>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</si>
  <si>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</si>
  <si>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</si>
  <si>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</si>
  <si>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</si>
  <si>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</si>
  <si>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</si>
  <si>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</si>
  <si>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</si>
  <si>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</si>
  <si>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</si>
  <si>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</si>
  <si>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</si>
  <si>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</si>
  <si>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</si>
  <si>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</si>
  <si>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</si>
  <si>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</si>
  <si>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</si>
  <si>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</si>
  <si>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</si>
  <si>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</si>
  <si>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</si>
  <si>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</si>
  <si>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</si>
  <si>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</si>
  <si>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</si>
  <si>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</si>
  <si>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</si>
  <si>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State Rd 169 MM 28 5</t>
  </si>
  <si>
    <t>Alamo, NM 87825</t>
  </si>
  <si>
    <t>Key Box#3033 Gate lock 1830</t>
  </si>
  <si>
    <t>Chapel</t>
  </si>
  <si>
    <t>SKSCM</t>
  </si>
  <si>
    <t>TAKE DOWN ALL OUTSIDE MOUNT</t>
  </si>
  <si>
    <t>MOUNT ALL NEW INSIDE WINDOW</t>
  </si>
  <si>
    <t>Chapel Door</t>
  </si>
  <si>
    <t>Sash</t>
  </si>
  <si>
    <t>1 1/2' Top &amp; Bottom</t>
  </si>
  <si>
    <t>XX</t>
  </si>
  <si>
    <t>DJ 7-9-2024</t>
  </si>
  <si>
    <t>Doyle</t>
  </si>
  <si>
    <t xml:space="preserve">Alamo-1  WO#J5003033-00233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</si>
</sst>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4.25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4.25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7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7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5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15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7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2" customHeight="1">
      <c r="A22" s="291" t="s">
        <v>2525</v>
      </c>
      <c r="B22" s="292" t="str">
        <f>Worksheet!W4</f>
        <v xml:space="preserve">Alamo-1  WO#J5003033-00233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4.25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3220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.75">
      <c r="A43" s="274"/>
      <c r="B43" s="274"/>
      <c r="C43" s="274"/>
      <c r="D43" s="279">
        <f>SUM(D41:D42)</f>
        <v>3220</v>
      </c>
      <c r="E43" s="271"/>
      <c r="F43" s="298" t="s">
        <v>2547</v>
      </c>
      <c r="H43" s="282"/>
      <c r="I43" s="299"/>
      <c r="J43" s="284"/>
      <c r="K43" s="2"/>
    </row>
    <row r="44" spans="1:11" ht="15.7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>
      <c r="B110" s="271" t="s">
        <v>2534</v>
      </c>
    </row>
    <row r="111" spans="2:2">
      <c r="B111" s="271" t="s">
        <v>2535</v>
      </c>
    </row>
    <row r="112" spans="2:2">
      <c r="B112" s="271" t="s">
        <v>2536</v>
      </c>
    </row>
    <row r="113" spans="2:2">
      <c r="B113" s="271" t="s">
        <v>2537</v>
      </c>
    </row>
    <row r="114" spans="2:2">
      <c r="B114" s="271" t="s">
        <v>2538</v>
      </c>
    </row>
    <row r="115" spans="2: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Alamo-1  WO#J5003033-00233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4" t="str">
        <f>'Worksheet 2'!W4</f>
        <v xml:space="preserve">Alamo-1  WO#J5003033-00233 </v>
      </c>
      <c r="X4" s="454"/>
      <c r="Y4" s="208" t="s">
        <v>2297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'Worksheet 2'!W5</f>
        <v>State Rd 169 MM 28 5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32981</v>
      </c>
      <c r="R6" s="459"/>
      <c r="S6" s="58"/>
      <c r="T6" s="172"/>
      <c r="U6" s="76"/>
      <c r="V6" s="67"/>
      <c r="W6" s="430" t="str">
        <f>'Worksheet 2'!W6</f>
        <v>Alamo, NM 87825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Alamo-1  WO#J5003033-00233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70" zoomScaleNormal="80" zoomScaleSheetLayoutView="70" workbookViewId="0">
      <selection activeCell="W1" sqref="W1"/>
    </sheetView>
  </sheetViews>
  <sheetFormatPr defaultRowHeight="15.75"/>
  <cols>
    <col min="1" max="1" width="5.42578125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7" width="7.85546875" customWidth="1"/>
    <col min="48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>FINAL MEASUREMENTS OK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32981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19" t="s">
        <v>2532</v>
      </c>
      <c r="Q4" s="419"/>
      <c r="R4" s="416"/>
      <c r="S4" s="416"/>
      <c r="T4" s="416"/>
      <c r="U4" s="172"/>
      <c r="V4" s="70" t="s">
        <v>4</v>
      </c>
      <c r="W4" s="390" t="s">
        <v>2623</v>
      </c>
      <c r="X4" s="256"/>
      <c r="Y4" s="208" t="s">
        <v>2297</v>
      </c>
      <c r="Z4" s="212">
        <v>1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Alamo-1  WO#J5003033-00233 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428"/>
      <c r="E6" s="428"/>
      <c r="F6" s="428"/>
      <c r="G6" s="428"/>
      <c r="H6" s="428"/>
      <c r="I6" s="78" t="s">
        <v>109</v>
      </c>
      <c r="J6" s="429"/>
      <c r="K6" s="429"/>
      <c r="L6" s="429"/>
      <c r="M6" s="429"/>
      <c r="N6" s="429"/>
      <c r="O6" s="429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30"/>
      <c r="E7" s="430"/>
      <c r="F7" s="430"/>
      <c r="G7" s="430"/>
      <c r="H7" s="430"/>
      <c r="I7" s="65" t="s">
        <v>111</v>
      </c>
      <c r="J7" s="431"/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v>35</v>
      </c>
      <c r="AM8" s="192">
        <v>13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2613</v>
      </c>
      <c r="C11" s="156" t="s">
        <v>122</v>
      </c>
      <c r="D11" s="113"/>
      <c r="E11" s="114">
        <v>1</v>
      </c>
      <c r="F11" s="114" t="s">
        <v>144</v>
      </c>
      <c r="G11" s="112">
        <v>23</v>
      </c>
      <c r="H11" s="115">
        <v>3.5</v>
      </c>
      <c r="I11" s="112">
        <v>62</v>
      </c>
      <c r="J11" s="246" t="str">
        <f>IF(F11="l","left",IF(F11="r","right",IF(F11="f","flat",IF(F11="d","dead",IF(F11="s","sor",IF(F11="st","sor t&amp;b",0))))))</f>
        <v>dead</v>
      </c>
      <c r="K11" s="246">
        <f>+G11</f>
        <v>23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62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1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1.2</v>
      </c>
      <c r="T11" s="114"/>
      <c r="U11" s="245">
        <f t="shared" ref="U11:U30" si="4">+D11+E11</f>
        <v>1</v>
      </c>
      <c r="V11" s="222" t="s">
        <v>2614</v>
      </c>
      <c r="W11" s="222" t="s">
        <v>2499</v>
      </c>
      <c r="X11" s="223" t="s">
        <v>159</v>
      </c>
      <c r="Y11" s="143" t="s">
        <v>2615</v>
      </c>
      <c r="Z11" s="58"/>
      <c r="AA11" s="363">
        <f t="shared" ref="AA11:AA30" si="5">IF(D11+E11&gt;0,IF(F11&gt;"u",0,IF(BA11="RR","RR",ROUND(BA11,1))),0)</f>
        <v>1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2.5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4</v>
      </c>
      <c r="AF11" s="58" t="s">
        <v>24</v>
      </c>
      <c r="AG11" s="117">
        <f t="shared" ref="AG11:AG30" si="10">+G11*I11/144*(D11+E11)</f>
        <v>9.9027777777777786</v>
      </c>
      <c r="AH11" s="114">
        <v>45</v>
      </c>
      <c r="AI11" s="114">
        <v>15</v>
      </c>
      <c r="AJ11" s="114">
        <v>25</v>
      </c>
      <c r="AK11" s="118"/>
      <c r="AL11" s="260">
        <f t="shared" ref="AL11:AL30" si="11">IF(C11&gt;0,AB11*Lining_Sew_Price)+AB11*sew_price*squeeze</f>
        <v>105</v>
      </c>
      <c r="AM11" s="119">
        <f t="shared" ref="AM11:AM30" si="12">IF($R$34=1,AB11*install_price*squeeze," ")</f>
        <v>26</v>
      </c>
      <c r="AN11" s="261">
        <f t="shared" ref="AN11:AN30" si="13">U11*AJ11*squeeze</f>
        <v>25</v>
      </c>
      <c r="AO11" s="119">
        <f t="shared" ref="AO11:AO30" si="14">AC11*AH11*squeeze</f>
        <v>112.5</v>
      </c>
      <c r="AP11" s="119">
        <f t="shared" ref="AP11:AP30" si="15">IF(C11&gt;0,AE11*AI11*squeeze," ")</f>
        <v>60</v>
      </c>
      <c r="AQ11" s="119">
        <f t="shared" ref="AQ11:AQ30" si="16">+AK11*squeeze</f>
        <v>0</v>
      </c>
      <c r="AR11" s="120">
        <f t="shared" ref="AR11:AR30" si="17">SUM(AL11:AQ11)</f>
        <v>328.5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0.9966216216216216</v>
      </c>
      <c r="BB11" s="121">
        <f>(+ROUNDUP(BA11*2,1))/2</f>
        <v>1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1</v>
      </c>
      <c r="BE11" s="121">
        <f>(ROUNDUP(2*BF11,0))/2</f>
        <v>2.5</v>
      </c>
      <c r="BF11" s="121">
        <f t="shared" ref="BF11:BF30" si="21">((IF(T11:T116,BH11,BG11))*AA11/36)*(IF(D11&gt;0,D11,E11))</f>
        <v>2.1666666666666665</v>
      </c>
      <c r="BG11" s="121">
        <f t="shared" ref="BG11:BG30" si="22">I11+16</f>
        <v>78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2613</v>
      </c>
      <c r="C12" s="156" t="s">
        <v>122</v>
      </c>
      <c r="D12" s="113"/>
      <c r="E12" s="114">
        <v>1</v>
      </c>
      <c r="F12" s="114" t="s">
        <v>144</v>
      </c>
      <c r="G12" s="112">
        <v>23</v>
      </c>
      <c r="H12" s="115">
        <v>3.5</v>
      </c>
      <c r="I12" s="112">
        <v>62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23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62</v>
      </c>
      <c r="P12" s="251">
        <f t="shared" si="2"/>
        <v>74</v>
      </c>
      <c r="Q12" s="355">
        <f t="shared" ref="Q12:Q30" si="29">IF(D12+E12&gt;0,IF(F12&gt;"u",0,IF(BA12="RR","RR",+BB12)),0)</f>
        <v>1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1.2</v>
      </c>
      <c r="T12" s="114"/>
      <c r="U12" s="245">
        <f t="shared" si="4"/>
        <v>1</v>
      </c>
      <c r="V12" s="222" t="s">
        <v>2614</v>
      </c>
      <c r="W12" s="222" t="s">
        <v>2499</v>
      </c>
      <c r="X12" s="223" t="s">
        <v>159</v>
      </c>
      <c r="Y12" s="143" t="s">
        <v>2616</v>
      </c>
      <c r="Z12" s="58"/>
      <c r="AA12" s="363">
        <f t="shared" si="5"/>
        <v>1</v>
      </c>
      <c r="AB12" s="358">
        <f t="shared" si="6"/>
        <v>2</v>
      </c>
      <c r="AC12" s="359">
        <f t="shared" si="7"/>
        <v>2.5</v>
      </c>
      <c r="AD12" s="360">
        <f t="shared" si="8"/>
        <v>2</v>
      </c>
      <c r="AE12" s="369">
        <f t="shared" si="9"/>
        <v>4</v>
      </c>
      <c r="AF12" s="58" t="s">
        <v>25</v>
      </c>
      <c r="AG12" s="117">
        <f t="shared" si="10"/>
        <v>9.9027777777777786</v>
      </c>
      <c r="AH12" s="114">
        <v>45</v>
      </c>
      <c r="AI12" s="114">
        <v>15</v>
      </c>
      <c r="AJ12" s="114">
        <v>25</v>
      </c>
      <c r="AK12" s="118"/>
      <c r="AL12" s="260">
        <f t="shared" si="11"/>
        <v>105</v>
      </c>
      <c r="AM12" s="119">
        <f t="shared" si="12"/>
        <v>26</v>
      </c>
      <c r="AN12" s="261">
        <f t="shared" si="13"/>
        <v>25</v>
      </c>
      <c r="AO12" s="119">
        <f t="shared" si="14"/>
        <v>112.5</v>
      </c>
      <c r="AP12" s="119">
        <f t="shared" si="15"/>
        <v>60</v>
      </c>
      <c r="AQ12" s="119">
        <f t="shared" si="16"/>
        <v>0</v>
      </c>
      <c r="AR12" s="120">
        <f t="shared" si="17"/>
        <v>328.5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0.9966216216216216</v>
      </c>
      <c r="BB12" s="121">
        <f t="shared" ref="BB12:BB30" si="32">(+ROUNDUP(BA12*2,1))/2</f>
        <v>1</v>
      </c>
      <c r="BC12" s="122">
        <f t="shared" si="19"/>
        <v>2</v>
      </c>
      <c r="BD12" s="122">
        <f t="shared" si="20"/>
        <v>1</v>
      </c>
      <c r="BE12" s="121">
        <f t="shared" ref="BE12:BE30" si="33">(ROUNDUP(2*BF12,0))/2</f>
        <v>2.5</v>
      </c>
      <c r="BF12" s="121">
        <f t="shared" si="21"/>
        <v>2.1666666666666665</v>
      </c>
      <c r="BG12" s="121">
        <f t="shared" si="22"/>
        <v>78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2613</v>
      </c>
      <c r="C13" s="156" t="s">
        <v>122</v>
      </c>
      <c r="D13" s="113"/>
      <c r="E13" s="114">
        <v>1</v>
      </c>
      <c r="F13" s="114" t="s">
        <v>144</v>
      </c>
      <c r="G13" s="112">
        <v>23</v>
      </c>
      <c r="H13" s="115">
        <v>3.5</v>
      </c>
      <c r="I13" s="112">
        <v>62</v>
      </c>
      <c r="J13" s="246" t="str">
        <f t="shared" si="25"/>
        <v>dead</v>
      </c>
      <c r="K13" s="246">
        <f t="shared" si="26"/>
        <v>23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62</v>
      </c>
      <c r="P13" s="251">
        <f t="shared" si="2"/>
        <v>74</v>
      </c>
      <c r="Q13" s="355">
        <f t="shared" si="29"/>
        <v>1</v>
      </c>
      <c r="R13" s="251">
        <f t="shared" si="3"/>
        <v>64</v>
      </c>
      <c r="S13" s="356">
        <f t="shared" si="30"/>
        <v>1.2</v>
      </c>
      <c r="T13" s="114"/>
      <c r="U13" s="245">
        <f t="shared" si="4"/>
        <v>1</v>
      </c>
      <c r="V13" s="222" t="s">
        <v>2614</v>
      </c>
      <c r="W13" s="222" t="s">
        <v>2499</v>
      </c>
      <c r="X13" s="223" t="s">
        <v>159</v>
      </c>
      <c r="Y13" s="58"/>
      <c r="Z13" s="58"/>
      <c r="AA13" s="363">
        <f t="shared" si="5"/>
        <v>1</v>
      </c>
      <c r="AB13" s="358">
        <f t="shared" si="6"/>
        <v>2</v>
      </c>
      <c r="AC13" s="359">
        <f t="shared" si="7"/>
        <v>2.5</v>
      </c>
      <c r="AD13" s="360">
        <f t="shared" si="8"/>
        <v>2</v>
      </c>
      <c r="AE13" s="369">
        <f t="shared" si="9"/>
        <v>4</v>
      </c>
      <c r="AF13" s="58" t="s">
        <v>26</v>
      </c>
      <c r="AG13" s="117">
        <f t="shared" si="10"/>
        <v>9.9027777777777786</v>
      </c>
      <c r="AH13" s="114">
        <v>45</v>
      </c>
      <c r="AI13" s="114">
        <v>15</v>
      </c>
      <c r="AJ13" s="114">
        <v>25</v>
      </c>
      <c r="AK13" s="118"/>
      <c r="AL13" s="260">
        <f t="shared" si="11"/>
        <v>105</v>
      </c>
      <c r="AM13" s="119">
        <f t="shared" si="12"/>
        <v>26</v>
      </c>
      <c r="AN13" s="261">
        <f t="shared" si="13"/>
        <v>25</v>
      </c>
      <c r="AO13" s="119">
        <f t="shared" si="14"/>
        <v>112.5</v>
      </c>
      <c r="AP13" s="119">
        <f t="shared" si="15"/>
        <v>60</v>
      </c>
      <c r="AQ13" s="119">
        <f t="shared" si="16"/>
        <v>0</v>
      </c>
      <c r="AR13" s="120">
        <f t="shared" si="17"/>
        <v>328.5</v>
      </c>
      <c r="AS13" s="185"/>
      <c r="AZ13" s="121">
        <f t="shared" si="31"/>
        <v>6.5</v>
      </c>
      <c r="BA13" s="121">
        <f t="shared" si="18"/>
        <v>0.9966216216216216</v>
      </c>
      <c r="BB13" s="121">
        <f t="shared" si="32"/>
        <v>1</v>
      </c>
      <c r="BC13" s="122">
        <f t="shared" si="19"/>
        <v>2</v>
      </c>
      <c r="BD13" s="122">
        <f t="shared" si="20"/>
        <v>1</v>
      </c>
      <c r="BE13" s="121">
        <f t="shared" si="33"/>
        <v>2.5</v>
      </c>
      <c r="BF13" s="121">
        <f t="shared" si="21"/>
        <v>2.1666666666666665</v>
      </c>
      <c r="BG13" s="121">
        <f t="shared" si="22"/>
        <v>78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2613</v>
      </c>
      <c r="C14" s="156" t="s">
        <v>122</v>
      </c>
      <c r="D14" s="113"/>
      <c r="E14" s="114">
        <v>1</v>
      </c>
      <c r="F14" s="114" t="s">
        <v>144</v>
      </c>
      <c r="G14" s="112">
        <v>23</v>
      </c>
      <c r="H14" s="115">
        <v>3.5</v>
      </c>
      <c r="I14" s="112">
        <v>62</v>
      </c>
      <c r="J14" s="246" t="str">
        <f t="shared" si="25"/>
        <v>dead</v>
      </c>
      <c r="K14" s="246">
        <f t="shared" si="26"/>
        <v>23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62</v>
      </c>
      <c r="P14" s="251">
        <f t="shared" si="2"/>
        <v>74</v>
      </c>
      <c r="Q14" s="355">
        <f t="shared" si="29"/>
        <v>1</v>
      </c>
      <c r="R14" s="251">
        <f t="shared" si="3"/>
        <v>64</v>
      </c>
      <c r="S14" s="356">
        <f t="shared" si="30"/>
        <v>1.2</v>
      </c>
      <c r="T14" s="114">
        <v>0</v>
      </c>
      <c r="U14" s="245">
        <f t="shared" si="4"/>
        <v>1</v>
      </c>
      <c r="V14" s="222" t="s">
        <v>2614</v>
      </c>
      <c r="W14" s="222" t="s">
        <v>2499</v>
      </c>
      <c r="X14" s="223" t="s">
        <v>159</v>
      </c>
      <c r="Y14" s="58"/>
      <c r="Z14" s="58"/>
      <c r="AA14" s="363">
        <f t="shared" si="5"/>
        <v>1</v>
      </c>
      <c r="AB14" s="358">
        <f t="shared" si="6"/>
        <v>2</v>
      </c>
      <c r="AC14" s="359">
        <f t="shared" si="7"/>
        <v>2.5</v>
      </c>
      <c r="AD14" s="360">
        <f t="shared" si="8"/>
        <v>2</v>
      </c>
      <c r="AE14" s="369">
        <f t="shared" si="9"/>
        <v>4</v>
      </c>
      <c r="AF14" s="58" t="s">
        <v>27</v>
      </c>
      <c r="AG14" s="117">
        <f t="shared" si="10"/>
        <v>9.9027777777777786</v>
      </c>
      <c r="AH14" s="114">
        <v>45</v>
      </c>
      <c r="AI14" s="114">
        <v>15</v>
      </c>
      <c r="AJ14" s="114">
        <v>25</v>
      </c>
      <c r="AK14" s="118"/>
      <c r="AL14" s="260">
        <f t="shared" si="11"/>
        <v>105</v>
      </c>
      <c r="AM14" s="119">
        <f t="shared" si="12"/>
        <v>26</v>
      </c>
      <c r="AN14" s="261">
        <f t="shared" si="13"/>
        <v>25</v>
      </c>
      <c r="AO14" s="119">
        <f t="shared" si="14"/>
        <v>112.5</v>
      </c>
      <c r="AP14" s="119">
        <f t="shared" si="15"/>
        <v>60</v>
      </c>
      <c r="AQ14" s="119">
        <f t="shared" si="16"/>
        <v>0</v>
      </c>
      <c r="AR14" s="120">
        <f t="shared" si="17"/>
        <v>328.5</v>
      </c>
      <c r="AS14" s="185"/>
      <c r="AZ14" s="121">
        <f t="shared" si="31"/>
        <v>6.5</v>
      </c>
      <c r="BA14" s="121">
        <f t="shared" si="18"/>
        <v>0.9966216216216216</v>
      </c>
      <c r="BB14" s="121">
        <f t="shared" si="32"/>
        <v>1</v>
      </c>
      <c r="BC14" s="122">
        <f t="shared" si="19"/>
        <v>2</v>
      </c>
      <c r="BD14" s="122">
        <f t="shared" si="20"/>
        <v>1</v>
      </c>
      <c r="BE14" s="121">
        <f t="shared" si="33"/>
        <v>2.5</v>
      </c>
      <c r="BF14" s="121">
        <f t="shared" si="21"/>
        <v>2.1666666666666665</v>
      </c>
      <c r="BG14" s="121">
        <f t="shared" si="22"/>
        <v>78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2613</v>
      </c>
      <c r="C15" s="156" t="s">
        <v>122</v>
      </c>
      <c r="D15" s="113"/>
      <c r="E15" s="114">
        <v>1</v>
      </c>
      <c r="F15" s="114" t="s">
        <v>144</v>
      </c>
      <c r="G15" s="112">
        <v>23</v>
      </c>
      <c r="H15" s="115">
        <v>3.5</v>
      </c>
      <c r="I15" s="112">
        <v>62</v>
      </c>
      <c r="J15" s="246" t="str">
        <f t="shared" si="25"/>
        <v>dead</v>
      </c>
      <c r="K15" s="246">
        <f t="shared" si="26"/>
        <v>23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62</v>
      </c>
      <c r="P15" s="251">
        <f t="shared" si="2"/>
        <v>74</v>
      </c>
      <c r="Q15" s="355">
        <f t="shared" si="29"/>
        <v>1</v>
      </c>
      <c r="R15" s="251">
        <f t="shared" si="3"/>
        <v>64</v>
      </c>
      <c r="S15" s="356">
        <f t="shared" si="30"/>
        <v>1.2</v>
      </c>
      <c r="T15" s="114">
        <v>0</v>
      </c>
      <c r="U15" s="245">
        <f t="shared" si="4"/>
        <v>1</v>
      </c>
      <c r="V15" s="222" t="s">
        <v>2614</v>
      </c>
      <c r="W15" s="222" t="s">
        <v>2499</v>
      </c>
      <c r="X15" s="223" t="s">
        <v>159</v>
      </c>
      <c r="Y15" s="58"/>
      <c r="Z15" s="58"/>
      <c r="AA15" s="363">
        <f t="shared" si="5"/>
        <v>1</v>
      </c>
      <c r="AB15" s="358">
        <f t="shared" si="6"/>
        <v>2</v>
      </c>
      <c r="AC15" s="359">
        <f t="shared" si="7"/>
        <v>2.5</v>
      </c>
      <c r="AD15" s="360">
        <f t="shared" si="8"/>
        <v>2</v>
      </c>
      <c r="AE15" s="369">
        <f t="shared" si="9"/>
        <v>4</v>
      </c>
      <c r="AF15" s="58" t="s">
        <v>28</v>
      </c>
      <c r="AG15" s="117">
        <f t="shared" si="10"/>
        <v>9.9027777777777786</v>
      </c>
      <c r="AH15" s="114">
        <v>45</v>
      </c>
      <c r="AI15" s="114">
        <v>15</v>
      </c>
      <c r="AJ15" s="114">
        <v>25</v>
      </c>
      <c r="AK15" s="118"/>
      <c r="AL15" s="260">
        <f t="shared" si="11"/>
        <v>105</v>
      </c>
      <c r="AM15" s="119">
        <f t="shared" si="12"/>
        <v>26</v>
      </c>
      <c r="AN15" s="261">
        <f t="shared" si="13"/>
        <v>25</v>
      </c>
      <c r="AO15" s="119">
        <f t="shared" si="14"/>
        <v>112.5</v>
      </c>
      <c r="AP15" s="119">
        <f t="shared" si="15"/>
        <v>60</v>
      </c>
      <c r="AQ15" s="119">
        <f t="shared" si="16"/>
        <v>0</v>
      </c>
      <c r="AR15" s="120">
        <f t="shared" si="17"/>
        <v>328.5</v>
      </c>
      <c r="AS15" s="185"/>
      <c r="AZ15" s="121">
        <f t="shared" si="31"/>
        <v>6.5</v>
      </c>
      <c r="BA15" s="121">
        <f t="shared" si="18"/>
        <v>0.9966216216216216</v>
      </c>
      <c r="BB15" s="121">
        <f t="shared" si="32"/>
        <v>1</v>
      </c>
      <c r="BC15" s="122">
        <f t="shared" si="19"/>
        <v>2</v>
      </c>
      <c r="BD15" s="122">
        <f t="shared" si="20"/>
        <v>1</v>
      </c>
      <c r="BE15" s="121">
        <f t="shared" si="33"/>
        <v>2.5</v>
      </c>
      <c r="BF15" s="121">
        <f t="shared" si="21"/>
        <v>2.1666666666666665</v>
      </c>
      <c r="BG15" s="121">
        <f t="shared" si="22"/>
        <v>78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2613</v>
      </c>
      <c r="C16" s="156" t="s">
        <v>122</v>
      </c>
      <c r="D16" s="113"/>
      <c r="E16" s="114">
        <v>1</v>
      </c>
      <c r="F16" s="114" t="s">
        <v>144</v>
      </c>
      <c r="G16" s="112">
        <v>23</v>
      </c>
      <c r="H16" s="115">
        <v>3.5</v>
      </c>
      <c r="I16" s="112">
        <v>62</v>
      </c>
      <c r="J16" s="246" t="str">
        <f t="shared" si="25"/>
        <v>dead</v>
      </c>
      <c r="K16" s="246">
        <f t="shared" si="26"/>
        <v>23</v>
      </c>
      <c r="L16" s="247" t="str">
        <f t="shared" si="27"/>
        <v>+</v>
      </c>
      <c r="M16" s="248">
        <f t="shared" si="0"/>
        <v>6.5</v>
      </c>
      <c r="N16" s="249" t="str">
        <f t="shared" si="28"/>
        <v>x</v>
      </c>
      <c r="O16" s="250">
        <f t="shared" si="1"/>
        <v>62</v>
      </c>
      <c r="P16" s="251">
        <f t="shared" si="2"/>
        <v>74</v>
      </c>
      <c r="Q16" s="355">
        <f t="shared" si="29"/>
        <v>1</v>
      </c>
      <c r="R16" s="251">
        <f t="shared" si="3"/>
        <v>64</v>
      </c>
      <c r="S16" s="356">
        <f t="shared" si="30"/>
        <v>1.2</v>
      </c>
      <c r="T16" s="114">
        <v>0</v>
      </c>
      <c r="U16" s="245">
        <f t="shared" si="4"/>
        <v>1</v>
      </c>
      <c r="V16" s="222" t="s">
        <v>2614</v>
      </c>
      <c r="W16" s="222" t="s">
        <v>2499</v>
      </c>
      <c r="X16" s="223" t="s">
        <v>159</v>
      </c>
      <c r="Y16" s="58"/>
      <c r="Z16" s="58"/>
      <c r="AA16" s="363">
        <f t="shared" si="5"/>
        <v>1</v>
      </c>
      <c r="AB16" s="358">
        <f t="shared" si="6"/>
        <v>2</v>
      </c>
      <c r="AC16" s="359">
        <f t="shared" si="7"/>
        <v>2.5</v>
      </c>
      <c r="AD16" s="360">
        <f t="shared" si="8"/>
        <v>2</v>
      </c>
      <c r="AE16" s="369">
        <f t="shared" si="9"/>
        <v>4</v>
      </c>
      <c r="AF16" s="58" t="s">
        <v>29</v>
      </c>
      <c r="AG16" s="117">
        <f t="shared" si="10"/>
        <v>9.9027777777777786</v>
      </c>
      <c r="AH16" s="114">
        <v>45</v>
      </c>
      <c r="AI16" s="114">
        <v>15</v>
      </c>
      <c r="AJ16" s="114">
        <v>25</v>
      </c>
      <c r="AK16" s="118"/>
      <c r="AL16" s="260">
        <f t="shared" si="11"/>
        <v>105</v>
      </c>
      <c r="AM16" s="119">
        <f t="shared" si="12"/>
        <v>26</v>
      </c>
      <c r="AN16" s="261">
        <f t="shared" si="13"/>
        <v>25</v>
      </c>
      <c r="AO16" s="119">
        <f t="shared" si="14"/>
        <v>112.5</v>
      </c>
      <c r="AP16" s="119">
        <f t="shared" si="15"/>
        <v>60</v>
      </c>
      <c r="AQ16" s="119">
        <f t="shared" si="16"/>
        <v>0</v>
      </c>
      <c r="AR16" s="120">
        <f t="shared" si="17"/>
        <v>328.5</v>
      </c>
      <c r="AS16" s="185"/>
      <c r="AZ16" s="121">
        <f t="shared" si="31"/>
        <v>6.5</v>
      </c>
      <c r="BA16" s="121">
        <f t="shared" si="18"/>
        <v>0.9966216216216216</v>
      </c>
      <c r="BB16" s="121">
        <f t="shared" si="32"/>
        <v>1</v>
      </c>
      <c r="BC16" s="122">
        <f t="shared" si="19"/>
        <v>2</v>
      </c>
      <c r="BD16" s="122">
        <f t="shared" si="20"/>
        <v>1</v>
      </c>
      <c r="BE16" s="121">
        <f t="shared" si="33"/>
        <v>2.5</v>
      </c>
      <c r="BF16" s="121">
        <f t="shared" si="21"/>
        <v>2.1666666666666665</v>
      </c>
      <c r="BG16" s="121">
        <f t="shared" si="22"/>
        <v>78</v>
      </c>
      <c r="BH16" s="121" t="e">
        <f t="shared" si="23"/>
        <v>#DIV/0!</v>
      </c>
      <c r="BI16" s="123">
        <f t="shared" si="24"/>
        <v>3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2613</v>
      </c>
      <c r="C17" s="156" t="s">
        <v>122</v>
      </c>
      <c r="D17" s="113"/>
      <c r="E17" s="114">
        <v>1</v>
      </c>
      <c r="F17" s="114" t="s">
        <v>144</v>
      </c>
      <c r="G17" s="112">
        <v>23</v>
      </c>
      <c r="H17" s="115">
        <v>3.5</v>
      </c>
      <c r="I17" s="112">
        <v>62</v>
      </c>
      <c r="J17" s="246" t="str">
        <f t="shared" si="25"/>
        <v>dead</v>
      </c>
      <c r="K17" s="246">
        <f t="shared" si="26"/>
        <v>23</v>
      </c>
      <c r="L17" s="247" t="str">
        <f t="shared" si="27"/>
        <v>+</v>
      </c>
      <c r="M17" s="248">
        <f t="shared" si="0"/>
        <v>6.5</v>
      </c>
      <c r="N17" s="249" t="str">
        <f t="shared" si="28"/>
        <v>x</v>
      </c>
      <c r="O17" s="250">
        <f t="shared" si="1"/>
        <v>62</v>
      </c>
      <c r="P17" s="251">
        <f t="shared" si="2"/>
        <v>74</v>
      </c>
      <c r="Q17" s="355">
        <f t="shared" si="29"/>
        <v>1</v>
      </c>
      <c r="R17" s="251">
        <f t="shared" si="3"/>
        <v>64</v>
      </c>
      <c r="S17" s="356">
        <f t="shared" si="30"/>
        <v>1.2</v>
      </c>
      <c r="T17" s="114">
        <v>0</v>
      </c>
      <c r="U17" s="245">
        <f t="shared" si="4"/>
        <v>1</v>
      </c>
      <c r="V17" s="222" t="s">
        <v>2614</v>
      </c>
      <c r="W17" s="222" t="s">
        <v>2499</v>
      </c>
      <c r="X17" s="223" t="s">
        <v>159</v>
      </c>
      <c r="Y17" s="58"/>
      <c r="Z17" s="58"/>
      <c r="AA17" s="363">
        <f t="shared" si="5"/>
        <v>1</v>
      </c>
      <c r="AB17" s="358">
        <f t="shared" si="6"/>
        <v>2</v>
      </c>
      <c r="AC17" s="359">
        <f t="shared" si="7"/>
        <v>2.5</v>
      </c>
      <c r="AD17" s="360">
        <f t="shared" si="8"/>
        <v>2</v>
      </c>
      <c r="AE17" s="369">
        <f t="shared" si="9"/>
        <v>4</v>
      </c>
      <c r="AF17" s="58" t="s">
        <v>30</v>
      </c>
      <c r="AG17" s="117">
        <f t="shared" si="10"/>
        <v>9.9027777777777786</v>
      </c>
      <c r="AH17" s="114">
        <v>45</v>
      </c>
      <c r="AI17" s="114">
        <v>15</v>
      </c>
      <c r="AJ17" s="114">
        <v>25</v>
      </c>
      <c r="AK17" s="118"/>
      <c r="AL17" s="260">
        <f t="shared" si="11"/>
        <v>105</v>
      </c>
      <c r="AM17" s="119">
        <f t="shared" si="12"/>
        <v>26</v>
      </c>
      <c r="AN17" s="261">
        <f t="shared" si="13"/>
        <v>25</v>
      </c>
      <c r="AO17" s="119">
        <f t="shared" si="14"/>
        <v>112.5</v>
      </c>
      <c r="AP17" s="119">
        <f t="shared" si="15"/>
        <v>60</v>
      </c>
      <c r="AQ17" s="119">
        <f t="shared" si="16"/>
        <v>0</v>
      </c>
      <c r="AR17" s="120">
        <f t="shared" si="17"/>
        <v>328.5</v>
      </c>
      <c r="AS17" s="185"/>
      <c r="AZ17" s="121">
        <f t="shared" si="31"/>
        <v>6.5</v>
      </c>
      <c r="BA17" s="121">
        <f t="shared" si="18"/>
        <v>0.9966216216216216</v>
      </c>
      <c r="BB17" s="121">
        <f t="shared" si="32"/>
        <v>1</v>
      </c>
      <c r="BC17" s="122">
        <f t="shared" si="19"/>
        <v>2</v>
      </c>
      <c r="BD17" s="122">
        <f t="shared" si="20"/>
        <v>1</v>
      </c>
      <c r="BE17" s="121">
        <f t="shared" si="33"/>
        <v>2.5</v>
      </c>
      <c r="BF17" s="121">
        <f t="shared" si="21"/>
        <v>2.1666666666666665</v>
      </c>
      <c r="BG17" s="121">
        <f t="shared" si="22"/>
        <v>78</v>
      </c>
      <c r="BH17" s="121" t="e">
        <f t="shared" si="23"/>
        <v>#DIV/0!</v>
      </c>
      <c r="BI17" s="123">
        <f t="shared" si="24"/>
        <v>3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 t="s">
        <v>2617</v>
      </c>
      <c r="C18" s="156" t="s">
        <v>122</v>
      </c>
      <c r="D18" s="113"/>
      <c r="E18" s="114">
        <v>1</v>
      </c>
      <c r="F18" s="114" t="s">
        <v>148</v>
      </c>
      <c r="G18" s="112">
        <v>10</v>
      </c>
      <c r="H18" s="115"/>
      <c r="I18" s="112">
        <v>17</v>
      </c>
      <c r="J18" s="246" t="str">
        <f t="shared" si="25"/>
        <v>sor t&amp;b</v>
      </c>
      <c r="K18" s="246">
        <f t="shared" si="26"/>
        <v>10</v>
      </c>
      <c r="L18" s="247">
        <f t="shared" si="27"/>
        <v>0</v>
      </c>
      <c r="M18" s="248">
        <f t="shared" si="0"/>
        <v>0</v>
      </c>
      <c r="N18" s="249" t="str">
        <f t="shared" si="28"/>
        <v>x</v>
      </c>
      <c r="O18" s="250">
        <f t="shared" si="1"/>
        <v>17</v>
      </c>
      <c r="P18" s="251">
        <f t="shared" si="2"/>
        <v>74</v>
      </c>
      <c r="Q18" s="355">
        <f t="shared" si="29"/>
        <v>0.35</v>
      </c>
      <c r="R18" s="251">
        <f t="shared" si="3"/>
        <v>64</v>
      </c>
      <c r="S18" s="356">
        <f t="shared" si="30"/>
        <v>0.4</v>
      </c>
      <c r="T18" s="114">
        <v>0</v>
      </c>
      <c r="U18" s="245">
        <v>2</v>
      </c>
      <c r="V18" s="222" t="s">
        <v>2618</v>
      </c>
      <c r="W18" s="222" t="s">
        <v>2499</v>
      </c>
      <c r="X18" s="223" t="s">
        <v>159</v>
      </c>
      <c r="Y18" s="143" t="s">
        <v>2619</v>
      </c>
      <c r="Z18" s="58"/>
      <c r="AA18" s="363">
        <f t="shared" si="5"/>
        <v>0.3</v>
      </c>
      <c r="AB18" s="358">
        <f t="shared" si="6"/>
        <v>2</v>
      </c>
      <c r="AC18" s="359">
        <f t="shared" si="7"/>
        <v>0.5</v>
      </c>
      <c r="AD18" s="360">
        <f t="shared" si="8"/>
        <v>1</v>
      </c>
      <c r="AE18" s="369">
        <f t="shared" si="9"/>
        <v>0.75</v>
      </c>
      <c r="AF18" s="58" t="s">
        <v>31</v>
      </c>
      <c r="AG18" s="117">
        <f t="shared" si="10"/>
        <v>1.1805555555555556</v>
      </c>
      <c r="AH18" s="114">
        <v>45</v>
      </c>
      <c r="AI18" s="114">
        <v>15</v>
      </c>
      <c r="AJ18" s="114">
        <v>15</v>
      </c>
      <c r="AK18" s="118"/>
      <c r="AL18" s="260">
        <f t="shared" si="11"/>
        <v>105</v>
      </c>
      <c r="AM18" s="119">
        <f t="shared" si="12"/>
        <v>26</v>
      </c>
      <c r="AN18" s="261">
        <f t="shared" si="13"/>
        <v>30</v>
      </c>
      <c r="AO18" s="119">
        <f t="shared" si="14"/>
        <v>22.5</v>
      </c>
      <c r="AP18" s="119">
        <f t="shared" si="15"/>
        <v>11.25</v>
      </c>
      <c r="AQ18" s="119">
        <f t="shared" si="16"/>
        <v>0</v>
      </c>
      <c r="AR18" s="120">
        <f t="shared" si="17"/>
        <v>194.75</v>
      </c>
      <c r="AS18" s="185"/>
      <c r="AZ18" s="121">
        <f t="shared" si="31"/>
        <v>3</v>
      </c>
      <c r="BA18" s="121">
        <f t="shared" si="18"/>
        <v>0.33783783783783783</v>
      </c>
      <c r="BB18" s="121">
        <f t="shared" si="32"/>
        <v>0.35</v>
      </c>
      <c r="BC18" s="122">
        <f t="shared" si="19"/>
        <v>2</v>
      </c>
      <c r="BD18" s="122">
        <f t="shared" si="20"/>
        <v>1</v>
      </c>
      <c r="BE18" s="121">
        <f t="shared" si="33"/>
        <v>0.5</v>
      </c>
      <c r="BF18" s="121">
        <f t="shared" si="21"/>
        <v>0.27500000000000002</v>
      </c>
      <c r="BG18" s="121">
        <f t="shared" si="22"/>
        <v>33</v>
      </c>
      <c r="BH18" s="121" t="e">
        <f t="shared" si="23"/>
        <v>#DIV/0!</v>
      </c>
      <c r="BI18" s="123">
        <f t="shared" si="24"/>
        <v>1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18</v>
      </c>
      <c r="AD31" s="362"/>
      <c r="AE31" s="357">
        <f>SUM(AE11:AE30)</f>
        <v>28.75</v>
      </c>
      <c r="AF31" s="124" t="s">
        <v>17</v>
      </c>
      <c r="AG31" s="125"/>
      <c r="AL31" s="126">
        <f t="shared" ref="AL31:AQ31" si="34">SUM(AL11:AL30)</f>
        <v>840</v>
      </c>
      <c r="AM31" s="127">
        <f t="shared" si="34"/>
        <v>208</v>
      </c>
      <c r="AN31" s="128">
        <f t="shared" si="34"/>
        <v>205</v>
      </c>
      <c r="AO31" s="163">
        <f t="shared" si="34"/>
        <v>810</v>
      </c>
      <c r="AP31" s="163">
        <f t="shared" si="34"/>
        <v>431.25</v>
      </c>
      <c r="AQ31" s="163">
        <f t="shared" si="34"/>
        <v>0</v>
      </c>
      <c r="AR31" s="159">
        <f>SUM(AL31:AQ31)</f>
        <v>2494.25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18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2495</v>
      </c>
      <c r="AS32" s="442" t="s">
        <v>2596</v>
      </c>
      <c r="AT32" s="443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28.75</v>
      </c>
      <c r="AA33" s="43"/>
      <c r="AB33" s="440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50</v>
      </c>
      <c r="AR33" s="404">
        <v>500</v>
      </c>
      <c r="AS33" s="442"/>
      <c r="AT33" s="443"/>
      <c r="AX33" s="434" t="s">
        <v>2603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4.6142857142857139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41" t="s">
        <v>2598</v>
      </c>
      <c r="AY34" s="441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2620</v>
      </c>
      <c r="G35" s="58" t="s">
        <v>2621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0.75</v>
      </c>
      <c r="AN35" s="411" t="s">
        <v>13</v>
      </c>
      <c r="AP35" s="138" t="s">
        <v>2524</v>
      </c>
      <c r="AQ35" s="129"/>
      <c r="AR35" s="194"/>
      <c r="AS35" s="188"/>
      <c r="AX35" s="441" t="s">
        <v>2599</v>
      </c>
      <c r="AY35" s="441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3220</v>
      </c>
      <c r="AS36" s="188"/>
      <c r="AT36" s="183" t="b">
        <v>0</v>
      </c>
      <c r="AX36" s="433" t="s">
        <v>2600</v>
      </c>
      <c r="AY36" s="433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21</v>
      </c>
      <c r="W37" s="436"/>
      <c r="X37" s="79" t="s">
        <v>2622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33" t="s">
        <v>2601</v>
      </c>
      <c r="AY37" s="433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3220</v>
      </c>
      <c r="AS38" s="189"/>
      <c r="AX38" s="433" t="s">
        <v>2602</v>
      </c>
      <c r="AY38" s="433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7.35</v>
      </c>
      <c r="S43" s="353">
        <f>SUM(S11:S30)</f>
        <v>8.8000000000000007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2:E23 D11:E17 E25:E26 E28:E29 E19:E20 D18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7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="50" zoomScaleNormal="100" zoomScaleSheetLayoutView="50" workbookViewId="0">
      <selection activeCell="C1" sqref="C1:R108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Alamo-1  WO#J5003033-00233 </v>
      </c>
      <c r="E1" s="22"/>
      <c r="F1" s="23"/>
      <c r="G1" s="22"/>
      <c r="H1" s="24"/>
      <c r="I1" s="25">
        <f>+Worksheet!$AR$1</f>
        <v>32981</v>
      </c>
      <c r="J1" s="26"/>
      <c r="L1" s="165" t="s">
        <v>113</v>
      </c>
      <c r="M1" s="21" t="str">
        <f>+Worksheet!$W$4</f>
        <v xml:space="preserve">Alamo-1  WO#J5003033-00233 </v>
      </c>
      <c r="N1" s="22"/>
      <c r="O1" s="23"/>
      <c r="P1" s="22"/>
      <c r="Q1" s="24"/>
      <c r="R1" s="25">
        <f>+Worksheet!$AR$1</f>
        <v>32981</v>
      </c>
    </row>
    <row r="2" spans="1:18" ht="33" customHeight="1">
      <c r="C2" s="166" t="s">
        <v>128</v>
      </c>
      <c r="D2" s="151" cm="1">
        <f t="array" aca="1" ref="D2" ca="1">INDIRECT("'Worksheet'!$K"&amp;$B1)</f>
        <v>23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62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23</v>
      </c>
      <c r="N2" s="152" t="s">
        <v>115</v>
      </c>
      <c r="O2" s="153">
        <f ca="1">F2</f>
        <v>6.5</v>
      </c>
      <c r="P2" s="152" t="s">
        <v>122</v>
      </c>
      <c r="Q2" s="154">
        <f ca="1">H2</f>
        <v>62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73.75</v>
      </c>
      <c r="E3" s="19" t="s">
        <v>122</v>
      </c>
      <c r="F3" s="370">
        <f ca="1">H2+15</f>
        <v>77</v>
      </c>
      <c r="G3" s="448" t="str" cm="1">
        <f t="array" aca="1" ref="G3" ca="1">INDIRECT("'Worksheet'!$Y"&amp;$B1)</f>
        <v>TAKE DOWN ALL OUTSIDE MOUNT</v>
      </c>
      <c r="H3" s="448"/>
      <c r="I3" s="449"/>
      <c r="L3" s="165" t="s">
        <v>121</v>
      </c>
      <c r="M3">
        <f t="shared" ca="1" si="0"/>
        <v>73.75</v>
      </c>
      <c r="N3" s="19" t="s">
        <v>122</v>
      </c>
      <c r="O3" s="370">
        <f ca="1">F3</f>
        <v>77</v>
      </c>
      <c r="P3" s="450" t="str">
        <f ca="1">G3</f>
        <v>TAKE DOWN ALL OUTSIDE MOUNT</v>
      </c>
      <c r="Q3" s="450"/>
      <c r="R3" s="451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</v>
      </c>
      <c r="E4" s="42" t="s">
        <v>41</v>
      </c>
      <c r="F4" s="371"/>
      <c r="G4" s="448"/>
      <c r="H4" s="448"/>
      <c r="I4" s="449"/>
      <c r="L4" s="167"/>
      <c r="M4" s="162">
        <f t="shared" ca="1" si="0"/>
        <v>1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>
        <f ca="1">+IF(D9="yes",IF($D11="Left of Pair",($D6*$H9),IF($D11="Panel",$D6*$H9,IF($H11="SOR",$D6*$H9," ")))," ")</f>
        <v>76.8</v>
      </c>
      <c r="E5" s="19" t="s">
        <v>122</v>
      </c>
      <c r="F5" s="370">
        <f ca="1">IF(D9="YES",H2+12," ")</f>
        <v>74</v>
      </c>
      <c r="H5" s="344" t="s">
        <v>10</v>
      </c>
      <c r="I5" s="372" cm="1">
        <f t="array" aca="1" ref="I5" ca="1">INDIRECT("'Worksheet'!$Q"&amp;B1)</f>
        <v>1</v>
      </c>
      <c r="L5" s="165" t="s">
        <v>135</v>
      </c>
      <c r="M5">
        <f t="shared" ca="1" si="0"/>
        <v>76.8</v>
      </c>
      <c r="N5" s="19" t="s">
        <v>122</v>
      </c>
      <c r="O5" s="370">
        <f ca="1">F5</f>
        <v>74</v>
      </c>
      <c r="P5" s="19"/>
      <c r="Q5" s="344" t="s">
        <v>10</v>
      </c>
      <c r="R5" s="161">
        <f ca="1">I5</f>
        <v>1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1.2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29.5</v>
      </c>
      <c r="L6" s="168"/>
      <c r="M6" s="345">
        <f t="shared" ca="1" si="0"/>
        <v>1.2</v>
      </c>
      <c r="N6" s="346" t="s">
        <v>41</v>
      </c>
      <c r="O6" s="373"/>
      <c r="P6" s="20"/>
      <c r="Q6" s="344" t="s">
        <v>116</v>
      </c>
      <c r="R6" s="32">
        <f ca="1">I6</f>
        <v>29.5</v>
      </c>
    </row>
    <row r="7" spans="1:18" ht="15" customHeight="1">
      <c r="C7" s="169" t="s">
        <v>114</v>
      </c>
      <c r="D7" s="374" t="str" cm="1">
        <f t="array" aca="1" ref="D7" ca="1">INDIRECT("'Worksheet'!$B"&amp;$B1)</f>
        <v>Chapel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9" t="s">
        <v>114</v>
      </c>
      <c r="M7" s="31" t="str">
        <f t="shared" ca="1" si="0"/>
        <v>Chapel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46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46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46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47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47"/>
    </row>
    <row r="11" spans="1:18" ht="23.25">
      <c r="C11" s="349" t="str" cm="1">
        <f t="array" aca="1" ref="C11" ca="1">INDIRECT("'Worksheet'!$J"&amp;$B1)</f>
        <v>dead</v>
      </c>
      <c r="D11" s="444" t="str" cm="1">
        <f t="array" aca="1" ref="D11" ca="1">IF(INDIRECT("'Worksheet'!$D"&amp;$B1)=1, "Left of Pair", IF(INDIRECT("'Worksheet'!$E"&amp;$B1)=1, "Panel"))</f>
        <v>Panel</v>
      </c>
      <c r="E11" s="444"/>
      <c r="F11" s="444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44" t="str" cm="1">
        <f t="array" aca="1" ref="M11" ca="1">IF(INDIRECT("'Worksheet'!$D"&amp;$B1)=1, "Right of Pair", IF(INDIRECT("'Worksheet'!$E"&amp;$B1)=1, "Do Not Use"))</f>
        <v>Do Not Use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Alamo-1  WO#J5003033-00233 </v>
      </c>
      <c r="E15" s="22"/>
      <c r="F15" s="23"/>
      <c r="G15" s="22"/>
      <c r="H15" s="24"/>
      <c r="I15" s="25">
        <f>+Worksheet!$AR$1</f>
        <v>32981</v>
      </c>
      <c r="J15" s="26"/>
      <c r="L15" s="165" t="s">
        <v>113</v>
      </c>
      <c r="M15" s="21" t="str">
        <f>+Worksheet!$W$4</f>
        <v xml:space="preserve">Alamo-1  WO#J5003033-00233 </v>
      </c>
      <c r="N15" s="22"/>
      <c r="O15" s="23"/>
      <c r="P15" s="22"/>
      <c r="Q15" s="24"/>
      <c r="R15" s="25">
        <f>+Worksheet!$AR$1</f>
        <v>32981</v>
      </c>
    </row>
    <row r="16" spans="1:18" ht="33" customHeight="1">
      <c r="C16" s="166" t="s">
        <v>128</v>
      </c>
      <c r="D16" s="151" cm="1">
        <f t="array" aca="1" ref="D16" ca="1">INDIRECT("'Worksheet'!$K"&amp;$B15)</f>
        <v>23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62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23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62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73.75</v>
      </c>
      <c r="E17" s="19" t="s">
        <v>122</v>
      </c>
      <c r="F17" s="370">
        <f ca="1">H16+15</f>
        <v>77</v>
      </c>
      <c r="G17" s="448" t="str" cm="1">
        <f t="array" aca="1" ref="G17" ca="1">INDIRECT("'Worksheet'!$Y"&amp;$B15)</f>
        <v>MOUNT ALL NEW INSIDE WINDOW</v>
      </c>
      <c r="H17" s="448"/>
      <c r="I17" s="449"/>
      <c r="L17" s="165" t="s">
        <v>121</v>
      </c>
      <c r="M17">
        <f t="shared" ca="1" si="1"/>
        <v>73.75</v>
      </c>
      <c r="N17" s="19" t="s">
        <v>122</v>
      </c>
      <c r="O17" s="370">
        <f ca="1">F17</f>
        <v>77</v>
      </c>
      <c r="P17" s="450" t="str">
        <f ca="1">G17</f>
        <v>MOUNT ALL NEW INSIDE WINDOW</v>
      </c>
      <c r="Q17" s="450"/>
      <c r="R17" s="451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1</v>
      </c>
      <c r="E18" s="42" t="s">
        <v>41</v>
      </c>
      <c r="F18" s="371"/>
      <c r="G18" s="448"/>
      <c r="H18" s="448"/>
      <c r="I18" s="449"/>
      <c r="L18" s="167"/>
      <c r="M18" s="162">
        <f t="shared" ca="1" si="1"/>
        <v>1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76.8</v>
      </c>
      <c r="E19" s="19" t="s">
        <v>122</v>
      </c>
      <c r="F19" s="370">
        <f ca="1">IF(D23="YES",H16+12," ")</f>
        <v>74</v>
      </c>
      <c r="H19" s="344" t="s">
        <v>10</v>
      </c>
      <c r="I19" s="372" cm="1">
        <f t="array" aca="1" ref="I19" ca="1">INDIRECT("'Worksheet'!$Q"&amp;B15)</f>
        <v>1</v>
      </c>
      <c r="L19" s="165" t="s">
        <v>135</v>
      </c>
      <c r="M19">
        <f t="shared" ca="1" si="1"/>
        <v>76.8</v>
      </c>
      <c r="N19" s="19" t="s">
        <v>122</v>
      </c>
      <c r="O19" s="370">
        <f ca="1">F19</f>
        <v>74</v>
      </c>
      <c r="P19" s="19"/>
      <c r="Q19" s="344" t="s">
        <v>10</v>
      </c>
      <c r="R19" s="161">
        <f ca="1">I19</f>
        <v>1</v>
      </c>
    </row>
    <row r="20" spans="1:18">
      <c r="C20" s="168"/>
      <c r="D20" s="162" cm="1">
        <f t="array" aca="1" ref="D20" ca="1">IF(D23="yes",IF($D25="Left of Pair",INDIRECT("'Worksheet'!$S"&amp;$B15)/2,IF($D25="Panel",INDIRECT("'Worksheet'!$S"&amp;$B15)))," ")</f>
        <v>1.2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29.5</v>
      </c>
      <c r="L20" s="168"/>
      <c r="M20" s="345">
        <f t="shared" ca="1" si="1"/>
        <v>1.2</v>
      </c>
      <c r="N20" s="346" t="s">
        <v>41</v>
      </c>
      <c r="O20" s="373"/>
      <c r="P20" s="20"/>
      <c r="Q20" s="344" t="s">
        <v>116</v>
      </c>
      <c r="R20" s="32">
        <f ca="1">I20</f>
        <v>29.5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Chapel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Chapel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46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46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46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47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47"/>
    </row>
    <row r="25" spans="1:18" ht="23.25">
      <c r="C25" s="349" t="str" cm="1">
        <f t="array" aca="1" ref="C25" ca="1">INDIRECT("'Worksheet'!$J"&amp;$B15)</f>
        <v>dead</v>
      </c>
      <c r="D25" s="444" t="str" cm="1">
        <f t="array" aca="1" ref="D25" ca="1">IF(INDIRECT("'Worksheet'!$D"&amp;$B15)=1, "Left of Pair", IF(INDIRECT("'Worksheet'!$E"&amp;$B15)=1, "Panel"))</f>
        <v>Panel</v>
      </c>
      <c r="E25" s="444"/>
      <c r="F25" s="444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44" t="str" cm="1">
        <f t="array" aca="1" ref="M25" ca="1">IF(INDIRECT("'Worksheet'!$D"&amp;$B15)=1, "Right of Pair", IF(INDIRECT("'Worksheet'!$E"&amp;$B15)=1, "Do Not Use"))</f>
        <v>Do Not Use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+Worksheet!$W$4</f>
        <v xml:space="preserve">Alamo-1  WO#J5003033-00233 </v>
      </c>
      <c r="E29" s="22"/>
      <c r="F29" s="23"/>
      <c r="G29" s="22"/>
      <c r="H29" s="24"/>
      <c r="I29" s="25">
        <f>+Worksheet!$AR$1</f>
        <v>32981</v>
      </c>
      <c r="J29" s="26"/>
      <c r="L29" s="165" t="s">
        <v>113</v>
      </c>
      <c r="M29" s="21" t="str">
        <f>+Worksheet!$W$4</f>
        <v xml:space="preserve">Alamo-1  WO#J5003033-00233 </v>
      </c>
      <c r="N29" s="22"/>
      <c r="O29" s="23"/>
      <c r="P29" s="22"/>
      <c r="Q29" s="24"/>
      <c r="R29" s="25">
        <f>+Worksheet!$AR$1</f>
        <v>32981</v>
      </c>
    </row>
    <row r="30" spans="1:18" ht="33" customHeight="1">
      <c r="C30" s="166" t="s">
        <v>128</v>
      </c>
      <c r="D30" s="151" cm="1">
        <f t="array" aca="1" ref="D30" ca="1">INDIRECT("'Worksheet'!$K"&amp;$B29)</f>
        <v>23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62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23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62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73.75</v>
      </c>
      <c r="E31" s="19" t="s">
        <v>122</v>
      </c>
      <c r="F31" s="370">
        <f ca="1">H30+15</f>
        <v>77</v>
      </c>
      <c r="G31" s="448" cm="1">
        <f t="array" aca="1" ref="G31" ca="1">INDIRECT("'Worksheet'!$Y"&amp;$B29)</f>
        <v>0</v>
      </c>
      <c r="H31" s="448"/>
      <c r="I31" s="449"/>
      <c r="L31" s="165" t="s">
        <v>121</v>
      </c>
      <c r="M31">
        <f t="shared" ca="1" si="2"/>
        <v>73.75</v>
      </c>
      <c r="N31" s="19" t="s">
        <v>122</v>
      </c>
      <c r="O31" s="370">
        <f ca="1">F31</f>
        <v>77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1</v>
      </c>
      <c r="E32" s="42" t="s">
        <v>41</v>
      </c>
      <c r="F32" s="371"/>
      <c r="G32" s="448"/>
      <c r="H32" s="448"/>
      <c r="I32" s="449"/>
      <c r="L32" s="167"/>
      <c r="M32" s="162">
        <f t="shared" ca="1" si="2"/>
        <v>1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76.8</v>
      </c>
      <c r="E33" s="19" t="s">
        <v>122</v>
      </c>
      <c r="F33" s="370">
        <f ca="1">IF(D37="YES",H30+12," ")</f>
        <v>74</v>
      </c>
      <c r="H33" s="344" t="s">
        <v>10</v>
      </c>
      <c r="I33" s="372" cm="1">
        <f t="array" aca="1" ref="I33" ca="1">INDIRECT("'Worksheet'!$Q"&amp;B29)</f>
        <v>1</v>
      </c>
      <c r="L33" s="165" t="s">
        <v>135</v>
      </c>
      <c r="M33">
        <f t="shared" ca="1" si="2"/>
        <v>76.8</v>
      </c>
      <c r="N33" s="19" t="s">
        <v>122</v>
      </c>
      <c r="O33" s="370">
        <f ca="1">F33</f>
        <v>74</v>
      </c>
      <c r="P33" s="19"/>
      <c r="Q33" s="344" t="s">
        <v>10</v>
      </c>
      <c r="R33" s="161">
        <f ca="1">I33</f>
        <v>1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1.2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29.5</v>
      </c>
      <c r="L34" s="168"/>
      <c r="M34" s="345">
        <f t="shared" ca="1" si="2"/>
        <v>1.2</v>
      </c>
      <c r="N34" s="346" t="s">
        <v>41</v>
      </c>
      <c r="O34" s="373"/>
      <c r="P34" s="20"/>
      <c r="Q34" s="344" t="s">
        <v>116</v>
      </c>
      <c r="R34" s="32">
        <f ca="1">I34</f>
        <v>29.5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Chapel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9" t="s">
        <v>114</v>
      </c>
      <c r="M35" s="31" t="str">
        <f t="shared" ca="1" si="2"/>
        <v>Chapel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46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46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46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47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47"/>
    </row>
    <row r="39" spans="1:18" ht="20.25" customHeight="1">
      <c r="C39" s="349" t="str" cm="1">
        <f t="array" aca="1" ref="C39" ca="1">INDIRECT("'Worksheet'!$J"&amp;$B29)</f>
        <v>dead</v>
      </c>
      <c r="D39" s="444" t="str" cm="1">
        <f t="array" aca="1" ref="D39" ca="1">IF(INDIRECT("'Worksheet'!$D"&amp;$B29)=1, "Left of Pair", IF(INDIRECT("'Worksheet'!$E"&amp;$B29)=1, "Panel"))</f>
        <v>Panel</v>
      </c>
      <c r="E39" s="444"/>
      <c r="F39" s="444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44" t="str" cm="1">
        <f t="array" aca="1" ref="M39" ca="1">IF(INDIRECT("'Worksheet'!$D"&amp;$B29)=1, "Right of Pair", IF(INDIRECT("'Worksheet'!$E"&amp;$B29)=1, "Do Not Use"))</f>
        <v>Do Not Use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+Worksheet!$W$4</f>
        <v xml:space="preserve">Alamo-1  WO#J5003033-00233 </v>
      </c>
      <c r="E43" s="22"/>
      <c r="F43" s="23"/>
      <c r="G43" s="22"/>
      <c r="H43" s="24"/>
      <c r="I43" s="25">
        <f>+Worksheet!$AR$1</f>
        <v>32981</v>
      </c>
      <c r="J43" s="26"/>
      <c r="L43" s="165" t="s">
        <v>113</v>
      </c>
      <c r="M43" s="21" t="str">
        <f>+Worksheet!$W$4</f>
        <v xml:space="preserve">Alamo-1  WO#J5003033-00233 </v>
      </c>
      <c r="N43" s="22"/>
      <c r="O43" s="23"/>
      <c r="P43" s="22"/>
      <c r="Q43" s="24"/>
      <c r="R43" s="25">
        <f>+Worksheet!$AR$1</f>
        <v>32981</v>
      </c>
    </row>
    <row r="44" spans="1:18" ht="32.25">
      <c r="C44" s="166" t="s">
        <v>128</v>
      </c>
      <c r="D44" s="151" cm="1">
        <f t="array" aca="1" ref="D44" ca="1">INDIRECT("'Worksheet'!$K"&amp;$B43)</f>
        <v>23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62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23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62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73.75</v>
      </c>
      <c r="E45" s="19" t="s">
        <v>122</v>
      </c>
      <c r="F45" s="370">
        <f ca="1">H44+15</f>
        <v>77</v>
      </c>
      <c r="G45" s="448" cm="1">
        <f t="array" aca="1" ref="G45" ca="1">INDIRECT("'Worksheet'!$Y"&amp;$B43)</f>
        <v>0</v>
      </c>
      <c r="H45" s="448"/>
      <c r="I45" s="449"/>
      <c r="L45" s="165" t="s">
        <v>121</v>
      </c>
      <c r="M45">
        <f t="shared" ca="1" si="3"/>
        <v>73.75</v>
      </c>
      <c r="N45" s="19" t="s">
        <v>122</v>
      </c>
      <c r="O45" s="370">
        <f ca="1">F45</f>
        <v>77</v>
      </c>
      <c r="P45" s="450">
        <f ca="1">G45</f>
        <v>0</v>
      </c>
      <c r="Q45" s="450"/>
      <c r="R45" s="451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</v>
      </c>
      <c r="E46" s="42" t="s">
        <v>41</v>
      </c>
      <c r="F46" s="371"/>
      <c r="G46" s="448"/>
      <c r="H46" s="448"/>
      <c r="I46" s="449"/>
      <c r="L46" s="167"/>
      <c r="M46" s="162">
        <f t="shared" ca="1" si="3"/>
        <v>1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>
        <f ca="1">+IF(D51="yes",IF($D53="Left of Pair",($D48*$H51),IF($D53="Panel",$D48*$H51,IF($H53="SOR",$D48*$H51," ")))," ")</f>
        <v>76.8</v>
      </c>
      <c r="E47" s="19" t="s">
        <v>122</v>
      </c>
      <c r="F47" s="370">
        <f ca="1">IF(D51="YES",H44+12," ")</f>
        <v>74</v>
      </c>
      <c r="H47" s="344" t="s">
        <v>10</v>
      </c>
      <c r="I47" s="372" cm="1">
        <f t="array" aca="1" ref="I47" ca="1">INDIRECT("'Worksheet'!$Q"&amp;B43)</f>
        <v>1</v>
      </c>
      <c r="L47" s="165" t="s">
        <v>135</v>
      </c>
      <c r="M47">
        <f t="shared" ca="1" si="3"/>
        <v>76.8</v>
      </c>
      <c r="N47" s="19" t="s">
        <v>122</v>
      </c>
      <c r="O47" s="370">
        <f ca="1">F47</f>
        <v>74</v>
      </c>
      <c r="P47" s="19"/>
      <c r="Q47" s="344" t="s">
        <v>10</v>
      </c>
      <c r="R47" s="161">
        <f ca="1">I47</f>
        <v>1</v>
      </c>
    </row>
    <row r="48" spans="1:18">
      <c r="C48" s="168"/>
      <c r="D48" s="162" cm="1">
        <f t="array" aca="1" ref="D48" ca="1">IF(D51="yes",IF($D53="Left of Pair",INDIRECT("'Worksheet'!$S"&amp;$B43)/2,IF($D53="Panel",INDIRECT("'Worksheet'!$S"&amp;$B43)))," ")</f>
        <v>1.2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29.5</v>
      </c>
      <c r="L48" s="168"/>
      <c r="M48" s="345">
        <f t="shared" ca="1" si="3"/>
        <v>1.2</v>
      </c>
      <c r="N48" s="346" t="s">
        <v>41</v>
      </c>
      <c r="O48" s="373"/>
      <c r="P48" s="20"/>
      <c r="Q48" s="344" t="s">
        <v>116</v>
      </c>
      <c r="R48" s="32">
        <f ca="1">I48</f>
        <v>29.5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Chapel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9" t="s">
        <v>114</v>
      </c>
      <c r="M49" s="31" t="str">
        <f t="shared" ca="1" si="3"/>
        <v>Chapel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46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46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46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47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47"/>
    </row>
    <row r="53" spans="1:18" ht="23.25">
      <c r="C53" s="349" t="str" cm="1">
        <f t="array" aca="1" ref="C53" ca="1">INDIRECT("'Worksheet'!$J"&amp;$B43)</f>
        <v>dead</v>
      </c>
      <c r="D53" s="444" t="str" cm="1">
        <f t="array" aca="1" ref="D53" ca="1">IF(INDIRECT("'Worksheet'!$D"&amp;$B43)=1, "Left of Pair", IF(INDIRECT("'Worksheet'!$E"&amp;$B43)=1, "Panel"))</f>
        <v>Panel</v>
      </c>
      <c r="E53" s="444"/>
      <c r="F53" s="444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44" t="str" cm="1">
        <f t="array" aca="1" ref="M53" ca="1">IF(INDIRECT("'Worksheet'!$D"&amp;$B43)=1, "Right of Pair", IF(INDIRECT("'Worksheet'!$E"&amp;$B43)=1, "Do Not Use"))</f>
        <v>Do Not Use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+Worksheet!$W$4</f>
        <v xml:space="preserve">Alamo-1  WO#J5003033-00233 </v>
      </c>
      <c r="E55" s="22"/>
      <c r="F55" s="23"/>
      <c r="G55" s="22"/>
      <c r="H55" s="24"/>
      <c r="I55" s="25">
        <f>+Worksheet!$AR$1</f>
        <v>32981</v>
      </c>
      <c r="J55" s="26"/>
      <c r="L55" s="165" t="s">
        <v>113</v>
      </c>
      <c r="M55" s="21" t="str">
        <f>+Worksheet!$W$4</f>
        <v xml:space="preserve">Alamo-1  WO#J5003033-00233 </v>
      </c>
      <c r="N55" s="22"/>
      <c r="O55" s="23"/>
      <c r="P55" s="22"/>
      <c r="Q55" s="24"/>
      <c r="R55" s="25">
        <f>+Worksheet!$AR$1</f>
        <v>32981</v>
      </c>
    </row>
    <row r="56" spans="1:18" ht="32.25">
      <c r="C56" s="166" t="s">
        <v>128</v>
      </c>
      <c r="D56" s="151" cm="1">
        <f t="array" aca="1" ref="D56" ca="1">INDIRECT("'Worksheet'!$K"&amp;$B55)</f>
        <v>23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62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23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62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73.75</v>
      </c>
      <c r="E57" s="19" t="s">
        <v>122</v>
      </c>
      <c r="F57" s="370">
        <f ca="1">H56+15</f>
        <v>77</v>
      </c>
      <c r="G57" s="448" cm="1">
        <f t="array" aca="1" ref="G57" ca="1">INDIRECT("'Worksheet'!$Y"&amp;$B55)</f>
        <v>0</v>
      </c>
      <c r="H57" s="448"/>
      <c r="I57" s="449"/>
      <c r="L57" s="165" t="s">
        <v>121</v>
      </c>
      <c r="M57">
        <f t="shared" ca="1" si="4"/>
        <v>73.75</v>
      </c>
      <c r="N57" s="19" t="s">
        <v>122</v>
      </c>
      <c r="O57" s="370">
        <f ca="1">F57</f>
        <v>77</v>
      </c>
      <c r="P57" s="450">
        <f ca="1">G57</f>
        <v>0</v>
      </c>
      <c r="Q57" s="450"/>
      <c r="R57" s="451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</v>
      </c>
      <c r="E58" s="42" t="s">
        <v>41</v>
      </c>
      <c r="F58" s="371"/>
      <c r="G58" s="448"/>
      <c r="H58" s="448"/>
      <c r="I58" s="449"/>
      <c r="L58" s="167"/>
      <c r="M58" s="162">
        <f t="shared" ca="1" si="4"/>
        <v>1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76.8</v>
      </c>
      <c r="E59" s="19" t="s">
        <v>122</v>
      </c>
      <c r="F59" s="370">
        <f ca="1">IF(D63="YES",H56+12," ")</f>
        <v>74</v>
      </c>
      <c r="H59" s="344" t="s">
        <v>10</v>
      </c>
      <c r="I59" s="372" cm="1">
        <f t="array" aca="1" ref="I59" ca="1">INDIRECT("'Worksheet'!$Q"&amp;B55)</f>
        <v>1</v>
      </c>
      <c r="L59" s="165" t="s">
        <v>135</v>
      </c>
      <c r="M59">
        <f t="shared" ca="1" si="4"/>
        <v>76.8</v>
      </c>
      <c r="N59" s="19" t="s">
        <v>122</v>
      </c>
      <c r="O59" s="370">
        <f ca="1">F59</f>
        <v>74</v>
      </c>
      <c r="P59" s="19"/>
      <c r="Q59" s="344" t="s">
        <v>10</v>
      </c>
      <c r="R59" s="161">
        <f ca="1">I59</f>
        <v>1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1.2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29.5</v>
      </c>
      <c r="L60" s="168"/>
      <c r="M60" s="345">
        <f t="shared" ca="1" si="4"/>
        <v>1.2</v>
      </c>
      <c r="N60" s="346" t="s">
        <v>41</v>
      </c>
      <c r="O60" s="373"/>
      <c r="P60" s="20"/>
      <c r="Q60" s="344" t="s">
        <v>116</v>
      </c>
      <c r="R60" s="32">
        <f ca="1">I60</f>
        <v>29.5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Chapel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Chapel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46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46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46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47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47"/>
    </row>
    <row r="65" spans="1:18" ht="23.25">
      <c r="C65" s="349" t="str" cm="1">
        <f t="array" aca="1" ref="C65" ca="1">INDIRECT("'Worksheet'!$J"&amp;$B55)</f>
        <v>dead</v>
      </c>
      <c r="D65" s="444" t="str" cm="1">
        <f t="array" aca="1" ref="D65" ca="1">IF(INDIRECT("'Worksheet'!$D"&amp;$B55)=1, "Left of Pair", IF(INDIRECT("'Worksheet'!$E"&amp;$B55)=1, "Panel"))</f>
        <v>Panel</v>
      </c>
      <c r="E65" s="444"/>
      <c r="F65" s="444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44" t="str" cm="1">
        <f t="array" aca="1" ref="M65" ca="1">IF(INDIRECT("'Worksheet'!$D"&amp;$B55)=1, "Right of Pair", IF(INDIRECT("'Worksheet'!$E"&amp;$B55)=1, "Do Not Use"))</f>
        <v>Do Not Use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+Worksheet!$W$4</f>
        <v xml:space="preserve">Alamo-1  WO#J5003033-00233 </v>
      </c>
      <c r="E69" s="22"/>
      <c r="F69" s="23"/>
      <c r="G69" s="22"/>
      <c r="H69" s="24"/>
      <c r="I69" s="25">
        <f>+Worksheet!$AR$1</f>
        <v>32981</v>
      </c>
      <c r="J69" s="26"/>
      <c r="L69" s="165" t="s">
        <v>113</v>
      </c>
      <c r="M69" s="21" t="str">
        <f>+Worksheet!$W$4</f>
        <v xml:space="preserve">Alamo-1  WO#J5003033-00233 </v>
      </c>
      <c r="N69" s="22"/>
      <c r="O69" s="23"/>
      <c r="P69" s="22"/>
      <c r="Q69" s="24"/>
      <c r="R69" s="25">
        <f>+Worksheet!$AR$1</f>
        <v>32981</v>
      </c>
    </row>
    <row r="70" spans="1:18" ht="32.25">
      <c r="C70" s="166" t="s">
        <v>128</v>
      </c>
      <c r="D70" s="151" cm="1">
        <f t="array" aca="1" ref="D70" ca="1">INDIRECT("'Worksheet'!$K"&amp;$B69)</f>
        <v>23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62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23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62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73.75</v>
      </c>
      <c r="E71" s="19" t="s">
        <v>122</v>
      </c>
      <c r="F71" s="370">
        <f ca="1">H70+15</f>
        <v>77</v>
      </c>
      <c r="G71" s="448" cm="1">
        <f t="array" aca="1" ref="G71" ca="1">INDIRECT("'Worksheet'!$Y"&amp;$B69)</f>
        <v>0</v>
      </c>
      <c r="H71" s="448"/>
      <c r="I71" s="449"/>
      <c r="L71" s="165" t="s">
        <v>121</v>
      </c>
      <c r="M71">
        <f t="shared" ca="1" si="5"/>
        <v>73.75</v>
      </c>
      <c r="N71" s="19" t="s">
        <v>122</v>
      </c>
      <c r="O71" s="370">
        <f ca="1">F71</f>
        <v>77</v>
      </c>
      <c r="P71" s="450">
        <f ca="1">G71</f>
        <v>0</v>
      </c>
      <c r="Q71" s="450"/>
      <c r="R71" s="451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1</v>
      </c>
      <c r="E72" s="42" t="s">
        <v>41</v>
      </c>
      <c r="F72" s="371"/>
      <c r="G72" s="448"/>
      <c r="H72" s="448"/>
      <c r="I72" s="449"/>
      <c r="L72" s="167"/>
      <c r="M72" s="162">
        <f t="shared" ca="1" si="5"/>
        <v>1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>
        <f ca="1">+IF(D77="yes",IF($D79="Left of Pair",($D74*$H77),IF($D79="Panel",$D74*$H77,IF($H79="SOR",$D74*$H77," ")))," ")</f>
        <v>76.8</v>
      </c>
      <c r="E73" s="19" t="s">
        <v>122</v>
      </c>
      <c r="F73" s="370">
        <f ca="1">IF(D77="YES",H70+12," ")</f>
        <v>74</v>
      </c>
      <c r="H73" s="344" t="s">
        <v>10</v>
      </c>
      <c r="I73" s="372" cm="1">
        <f t="array" aca="1" ref="I73" ca="1">INDIRECT("'Worksheet'!$Q"&amp;B69)</f>
        <v>1</v>
      </c>
      <c r="L73" s="165" t="s">
        <v>135</v>
      </c>
      <c r="M73">
        <f t="shared" ca="1" si="5"/>
        <v>76.8</v>
      </c>
      <c r="N73" s="19" t="s">
        <v>122</v>
      </c>
      <c r="O73" s="370">
        <f ca="1">F73</f>
        <v>74</v>
      </c>
      <c r="P73" s="19"/>
      <c r="Q73" s="344" t="s">
        <v>10</v>
      </c>
      <c r="R73" s="161">
        <f ca="1">I73</f>
        <v>1</v>
      </c>
    </row>
    <row r="74" spans="1:18">
      <c r="C74" s="168"/>
      <c r="D74" s="162" cm="1">
        <f t="array" aca="1" ref="D74" ca="1">IF(D77="yes",IF($D79="Left of Pair",INDIRECT("'Worksheet'!$S"&amp;$B69)/2,IF($D79="Panel",INDIRECT("'Worksheet'!$S"&amp;$B69)))," ")</f>
        <v>1.2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29.5</v>
      </c>
      <c r="L74" s="168"/>
      <c r="M74" s="345">
        <f t="shared" ca="1" si="5"/>
        <v>1.2</v>
      </c>
      <c r="N74" s="346" t="s">
        <v>41</v>
      </c>
      <c r="O74" s="373"/>
      <c r="P74" s="20"/>
      <c r="Q74" s="344" t="s">
        <v>116</v>
      </c>
      <c r="R74" s="32">
        <f ca="1">I74</f>
        <v>29.5</v>
      </c>
    </row>
    <row r="75" spans="1:18" ht="12.75" customHeight="1">
      <c r="C75" s="169" t="s">
        <v>114</v>
      </c>
      <c r="D75" s="374" t="str" cm="1">
        <f t="array" aca="1" ref="D75" ca="1">INDIRECT("'Worksheet'!$B"&amp;$B69)</f>
        <v>Chapel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9" t="s">
        <v>114</v>
      </c>
      <c r="M75" s="31" t="str">
        <f t="shared" ca="1" si="5"/>
        <v>Chapel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46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>YES</v>
      </c>
      <c r="E77" s="348" t="str" cm="1">
        <f t="array" aca="1" ref="E77" ca="1">INDIRECT("'Worksheet'!$X"&amp;$B69)</f>
        <v xml:space="preserve">Flameguard </v>
      </c>
      <c r="F77" s="39"/>
      <c r="G77" s="20"/>
      <c r="H77" s="393" cm="1">
        <f t="array" aca="1" ref="H77" ca="1">INDIRECT("'Worksheet'!$R"&amp;$B69)</f>
        <v>64</v>
      </c>
      <c r="I77" s="446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4">
        <f ca="1">H77</f>
        <v>64</v>
      </c>
      <c r="R77" s="446"/>
    </row>
    <row r="78" spans="1:18" ht="15.75" customHeight="1">
      <c r="C78" s="165" t="s">
        <v>13</v>
      </c>
      <c r="D78" s="348" t="str" cm="1">
        <f t="array" aca="1" ref="D78" ca="1">INDIRECT("'Worksheet'!$W"&amp;$B69)</f>
        <v>5th Avenue 72</v>
      </c>
      <c r="E78" s="22"/>
      <c r="F78" s="23"/>
      <c r="G78" s="22"/>
      <c r="H78" s="393" cm="1">
        <f t="array" aca="1" ref="H78" ca="1">INDIRECT("'Worksheet'!$P"&amp;$B69)</f>
        <v>74</v>
      </c>
      <c r="I78" s="447"/>
      <c r="L78" s="165" t="s">
        <v>13</v>
      </c>
      <c r="M78" s="21" t="str">
        <f t="shared" ca="1" si="5"/>
        <v>5th Avenue 72</v>
      </c>
      <c r="N78" s="22"/>
      <c r="O78" s="23"/>
      <c r="P78" s="22"/>
      <c r="Q78" s="394">
        <f ca="1">H78</f>
        <v>74</v>
      </c>
      <c r="R78" s="447"/>
    </row>
    <row r="79" spans="1:18" ht="23.25">
      <c r="C79" s="349" t="str" cm="1">
        <f t="array" aca="1" ref="C79" ca="1">INDIRECT("'Worksheet'!$J"&amp;$B69)</f>
        <v>dead</v>
      </c>
      <c r="D79" s="444" t="str" cm="1">
        <f t="array" aca="1" ref="D79" ca="1">IF(INDIRECT("'Worksheet'!$D"&amp;$B69)=1, "Left of Pair", IF(INDIRECT("'Worksheet'!$E"&amp;$B69)=1, "Panel"))</f>
        <v>Panel</v>
      </c>
      <c r="E79" s="444"/>
      <c r="F79" s="444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 t="str">
        <f ca="1">$C79</f>
        <v>dead</v>
      </c>
      <c r="M79" s="444" t="str" cm="1">
        <f t="array" aca="1" ref="M79" ca="1">IF(INDIRECT("'Worksheet'!$D"&amp;$B69)=1, "Right of Pair", IF(INDIRECT("'Worksheet'!$E"&amp;$B69)=1, "Do Not Use"))</f>
        <v>Do Not Use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+Worksheet!$W$4</f>
        <v xml:space="preserve">Alamo-1  WO#J5003033-00233 </v>
      </c>
      <c r="E83" s="22"/>
      <c r="F83" s="23"/>
      <c r="G83" s="22"/>
      <c r="H83" s="24"/>
      <c r="I83" s="25">
        <f>+Worksheet!$AR$1</f>
        <v>32981</v>
      </c>
      <c r="J83" s="26"/>
      <c r="L83" s="165" t="s">
        <v>113</v>
      </c>
      <c r="M83" s="21" t="str">
        <f>+Worksheet!$W$4</f>
        <v xml:space="preserve">Alamo-1  WO#J5003033-00233 </v>
      </c>
      <c r="N83" s="22"/>
      <c r="O83" s="23"/>
      <c r="P83" s="22"/>
      <c r="Q83" s="24"/>
      <c r="R83" s="25">
        <f>+Worksheet!$AR$1</f>
        <v>32981</v>
      </c>
    </row>
    <row r="84" spans="1:18" ht="32.25">
      <c r="C84" s="166" t="s">
        <v>128</v>
      </c>
      <c r="D84" s="151" cm="1">
        <f t="array" aca="1" ref="D84" ca="1">INDIRECT("'Worksheet'!$K"&amp;$B83)</f>
        <v>23</v>
      </c>
      <c r="E84" s="152" t="s">
        <v>115</v>
      </c>
      <c r="F84" s="151" cm="1">
        <f t="array" aca="1" ref="F84" ca="1">INDIRECT("'Worksheet'!$M"&amp;$B83)</f>
        <v>6.5</v>
      </c>
      <c r="G84" s="152" t="s">
        <v>122</v>
      </c>
      <c r="H84" s="151" cm="1">
        <f t="array" aca="1" ref="H84" ca="1">INDIRECT("'Worksheet'!$O"&amp;$B83)</f>
        <v>62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23</v>
      </c>
      <c r="N84" s="152" t="s">
        <v>115</v>
      </c>
      <c r="O84" s="153">
        <f ca="1">F84</f>
        <v>6.5</v>
      </c>
      <c r="P84" s="152" t="s">
        <v>122</v>
      </c>
      <c r="Q84" s="154">
        <f ca="1">H84</f>
        <v>62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>
        <f ca="1">+IF($D93="Left of Pair",((D84+F84)*Worksheet!$AE$7)/2,IF($D93="Panel",(D84+F84)*Worksheet!$AE$7,IF($H93="SOR",D84*2.5+6,IF($H93="SOR T&amp;B",D84*2.5+6))))</f>
        <v>73.75</v>
      </c>
      <c r="E85" s="19" t="s">
        <v>122</v>
      </c>
      <c r="F85" s="370">
        <f ca="1">H84+15</f>
        <v>77</v>
      </c>
      <c r="G85" s="448" cm="1">
        <f t="array" aca="1" ref="G85" ca="1">INDIRECT("'Worksheet'!$Y"&amp;$B83)</f>
        <v>0</v>
      </c>
      <c r="H85" s="448"/>
      <c r="I85" s="449"/>
      <c r="L85" s="165" t="s">
        <v>121</v>
      </c>
      <c r="M85">
        <f t="shared" ca="1" si="6"/>
        <v>73.75</v>
      </c>
      <c r="N85" s="19" t="s">
        <v>122</v>
      </c>
      <c r="O85" s="370">
        <f ca="1">F85</f>
        <v>77</v>
      </c>
      <c r="P85" s="450">
        <f ca="1">G85</f>
        <v>0</v>
      </c>
      <c r="Q85" s="450"/>
      <c r="R85" s="451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1</v>
      </c>
      <c r="E86" s="42" t="s">
        <v>41</v>
      </c>
      <c r="F86" s="371"/>
      <c r="G86" s="448"/>
      <c r="H86" s="448"/>
      <c r="I86" s="449"/>
      <c r="L86" s="167"/>
      <c r="M86" s="162">
        <f t="shared" ca="1" si="6"/>
        <v>1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>
        <f ca="1">+IF(D91="yes",IF($D93="Left of Pair",($D88*$H91),IF($D93="Panel",$D88*$H91,IF($H93="SOR",$D88*$H91," ")))," ")</f>
        <v>76.8</v>
      </c>
      <c r="E87" s="19" t="s">
        <v>122</v>
      </c>
      <c r="F87" s="370">
        <f ca="1">IF(D91="YES",H84+12," ")</f>
        <v>74</v>
      </c>
      <c r="H87" s="344" t="s">
        <v>10</v>
      </c>
      <c r="I87" s="372" cm="1">
        <f t="array" aca="1" ref="I87" ca="1">INDIRECT("'Worksheet'!$Q"&amp;B83)</f>
        <v>1</v>
      </c>
      <c r="L87" s="165" t="s">
        <v>135</v>
      </c>
      <c r="M87">
        <f t="shared" ca="1" si="6"/>
        <v>76.8</v>
      </c>
      <c r="N87" s="19" t="s">
        <v>122</v>
      </c>
      <c r="O87" s="370">
        <f ca="1">F87</f>
        <v>74</v>
      </c>
      <c r="P87" s="19"/>
      <c r="Q87" s="344" t="s">
        <v>10</v>
      </c>
      <c r="R87" s="161">
        <f ca="1">I87</f>
        <v>1</v>
      </c>
    </row>
    <row r="88" spans="1:18">
      <c r="C88" s="168"/>
      <c r="D88" s="162" cm="1">
        <f t="array" aca="1" ref="D88" ca="1">IF(D91="yes",IF($D93="Left of Pair",INDIRECT("'Worksheet'!$S"&amp;$B83)/2,IF($D93="Panel",INDIRECT("'Worksheet'!$S"&amp;$B83)))," ")</f>
        <v>1.2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29.5</v>
      </c>
      <c r="L88" s="168"/>
      <c r="M88" s="345">
        <f t="shared" ca="1" si="6"/>
        <v>1.2</v>
      </c>
      <c r="N88" s="346" t="s">
        <v>41</v>
      </c>
      <c r="O88" s="373"/>
      <c r="P88" s="20"/>
      <c r="Q88" s="344" t="s">
        <v>116</v>
      </c>
      <c r="R88" s="32">
        <f ca="1">I88</f>
        <v>29.5</v>
      </c>
    </row>
    <row r="89" spans="1:18" ht="12.75" customHeight="1">
      <c r="C89" s="169" t="s">
        <v>114</v>
      </c>
      <c r="D89" s="374" t="str" cm="1">
        <f t="array" aca="1" ref="D89" ca="1">INDIRECT("'Worksheet'!$B"&amp;$B83)</f>
        <v>Chapel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9" t="s">
        <v>114</v>
      </c>
      <c r="M89" s="31" t="str">
        <f t="shared" ca="1" si="6"/>
        <v>Chapel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3.5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46"/>
      <c r="L90" s="165" t="s">
        <v>117</v>
      </c>
      <c r="M90" s="34">
        <f t="shared" ca="1" si="6"/>
        <v>3.5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>YES</v>
      </c>
      <c r="E91" s="348" t="str" cm="1">
        <f t="array" aca="1" ref="E91" ca="1">INDIRECT("'Worksheet'!$X"&amp;$B83)</f>
        <v xml:space="preserve">Flameguard </v>
      </c>
      <c r="F91" s="39"/>
      <c r="G91" s="20"/>
      <c r="H91" s="393" cm="1">
        <f t="array" aca="1" ref="H91" ca="1">INDIRECT("'Worksheet'!$R"&amp;$B83)</f>
        <v>64</v>
      </c>
      <c r="I91" s="446"/>
      <c r="J91" s="40"/>
      <c r="L91" s="165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4">
        <f ca="1">H91</f>
        <v>64</v>
      </c>
      <c r="R91" s="446"/>
    </row>
    <row r="92" spans="1:18" ht="15.75" customHeight="1">
      <c r="C92" s="165" t="s">
        <v>13</v>
      </c>
      <c r="D92" s="348" t="str" cm="1">
        <f t="array" aca="1" ref="D92" ca="1">INDIRECT("'Worksheet'!$W"&amp;$B83)</f>
        <v>5th Avenue 72</v>
      </c>
      <c r="E92" s="22"/>
      <c r="F92" s="23"/>
      <c r="G92" s="22"/>
      <c r="H92" s="393" cm="1">
        <f t="array" aca="1" ref="H92" ca="1">INDIRECT("'Worksheet'!$P"&amp;$B83)</f>
        <v>74</v>
      </c>
      <c r="I92" s="447"/>
      <c r="L92" s="165" t="s">
        <v>13</v>
      </c>
      <c r="M92" s="21" t="str">
        <f t="shared" ca="1" si="6"/>
        <v>5th Avenue 72</v>
      </c>
      <c r="N92" s="22"/>
      <c r="O92" s="23"/>
      <c r="P92" s="22"/>
      <c r="Q92" s="394">
        <f ca="1">H92</f>
        <v>74</v>
      </c>
      <c r="R92" s="447"/>
    </row>
    <row r="93" spans="1:18" ht="23.25">
      <c r="C93" s="349" t="str" cm="1">
        <f t="array" aca="1" ref="C93" ca="1">INDIRECT("'Worksheet'!$J"&amp;$B83)</f>
        <v>dead</v>
      </c>
      <c r="D93" s="444" t="str" cm="1">
        <f t="array" aca="1" ref="D93" ca="1">IF(INDIRECT("'Worksheet'!$D"&amp;$B83)=1, "Left of Pair", IF(INDIRECT("'Worksheet'!$E"&amp;$B83)=1, "Panel"))</f>
        <v>Panel</v>
      </c>
      <c r="E93" s="444"/>
      <c r="F93" s="444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 t="str">
        <f ca="1">$C93</f>
        <v>dead</v>
      </c>
      <c r="M93" s="444" t="str" cm="1">
        <f t="array" aca="1" ref="M93" ca="1">IF(INDIRECT("'Worksheet'!$D"&amp;$B83)=1, "Right of Pair", IF(INDIRECT("'Worksheet'!$E"&amp;$B83)=1, "Do Not Use"))</f>
        <v>Do Not Use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+Worksheet!$W$4</f>
        <v xml:space="preserve">Alamo-1  WO#J5003033-00233 </v>
      </c>
      <c r="E97" s="22"/>
      <c r="F97" s="23"/>
      <c r="G97" s="22"/>
      <c r="H97" s="24"/>
      <c r="I97" s="25">
        <f>+Worksheet!$AR$1</f>
        <v>32981</v>
      </c>
      <c r="J97" s="26"/>
      <c r="L97" s="165" t="s">
        <v>113</v>
      </c>
      <c r="M97" s="21" t="str">
        <f>+Worksheet!$W$4</f>
        <v xml:space="preserve">Alamo-1  WO#J5003033-00233 </v>
      </c>
      <c r="N97" s="22"/>
      <c r="O97" s="23"/>
      <c r="P97" s="22"/>
      <c r="Q97" s="24"/>
      <c r="R97" s="25">
        <f>+Worksheet!$AR$1</f>
        <v>32981</v>
      </c>
    </row>
    <row r="98" spans="1:18" ht="32.25">
      <c r="C98" s="166" t="s">
        <v>128</v>
      </c>
      <c r="D98" s="151" cm="1">
        <f t="array" aca="1" ref="D98" ca="1">INDIRECT("'Worksheet'!$K"&amp;$B97)</f>
        <v>10</v>
      </c>
      <c r="E98" s="152" t="s">
        <v>115</v>
      </c>
      <c r="F98" s="151" cm="1">
        <f t="array" aca="1" ref="F98" ca="1">INDIRECT("'Worksheet'!$M"&amp;$B97)</f>
        <v>0</v>
      </c>
      <c r="G98" s="152" t="s">
        <v>122</v>
      </c>
      <c r="H98" s="151" cm="1">
        <f t="array" aca="1" ref="H98" ca="1">INDIRECT("'Worksheet'!$O"&amp;$B97)</f>
        <v>17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10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17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>
        <f ca="1">+IF($D107="Left of Pair",((D98+F98)*Worksheet!$AE$7)/2,IF($D107="Panel",(D98+F98)*Worksheet!$AE$7,IF($H107="SOR",D98*2.5+6,IF($H107="SOR T&amp;B",D98*2.5+6))))</f>
        <v>25</v>
      </c>
      <c r="E99" s="19" t="s">
        <v>122</v>
      </c>
      <c r="F99" s="370">
        <f ca="1">H98+15</f>
        <v>32</v>
      </c>
      <c r="G99" s="448" t="str" cm="1">
        <f t="array" aca="1" ref="G99" ca="1">INDIRECT("'Worksheet'!$Y"&amp;$B97)</f>
        <v>1 1/2' Top &amp; Bottom</v>
      </c>
      <c r="H99" s="448"/>
      <c r="I99" s="449"/>
      <c r="L99" s="165" t="s">
        <v>121</v>
      </c>
      <c r="M99">
        <f t="shared" ca="1" si="7"/>
        <v>25</v>
      </c>
      <c r="N99" s="19" t="s">
        <v>122</v>
      </c>
      <c r="O99" s="370">
        <f ca="1">F99</f>
        <v>32</v>
      </c>
      <c r="P99" s="450" t="str">
        <f ca="1">G99</f>
        <v>1 1/2' Top &amp; Bottom</v>
      </c>
      <c r="Q99" s="450"/>
      <c r="R99" s="451"/>
    </row>
    <row r="100" spans="1:18" ht="19.5" customHeight="1">
      <c r="C100" s="167"/>
      <c r="D100" s="162" cm="1">
        <f t="array" aca="1" ref="D100" ca="1">IF($D107="Left of Pair",INDIRECT("'Worksheet'!$Q"&amp;$B97)/2,IF($D107="Panel",INDIRECT("'Worksheet'!$Q"&amp;$B97)))</f>
        <v>0.35</v>
      </c>
      <c r="E100" s="42" t="s">
        <v>41</v>
      </c>
      <c r="F100" s="371"/>
      <c r="G100" s="448"/>
      <c r="H100" s="448"/>
      <c r="I100" s="449"/>
      <c r="L100" s="167"/>
      <c r="M100" s="162">
        <f t="shared" ca="1" si="7"/>
        <v>0.35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>
        <f ca="1">+IF(D105="yes",IF($D107="Left of Pair",($D102*$H105),IF($D107="Panel",$D102*$H105,IF($H107="SOR",$D102*$H105," ")))," ")</f>
        <v>25.6</v>
      </c>
      <c r="E101" s="19" t="s">
        <v>122</v>
      </c>
      <c r="F101" s="370">
        <f ca="1">IF(D105="YES",H98+12," ")</f>
        <v>29</v>
      </c>
      <c r="H101" s="344" t="s">
        <v>10</v>
      </c>
      <c r="I101" s="372" cm="1">
        <f t="array" aca="1" ref="I101" ca="1">INDIRECT("'Worksheet'!$Q"&amp;B97)</f>
        <v>0.35</v>
      </c>
      <c r="L101" s="165" t="s">
        <v>135</v>
      </c>
      <c r="M101">
        <f t="shared" ca="1" si="7"/>
        <v>25.6</v>
      </c>
      <c r="N101" s="19" t="s">
        <v>122</v>
      </c>
      <c r="O101" s="370">
        <f ca="1">F101</f>
        <v>29</v>
      </c>
      <c r="P101" s="19"/>
      <c r="Q101" s="344" t="s">
        <v>10</v>
      </c>
      <c r="R101" s="161">
        <f ca="1">I101</f>
        <v>0.35</v>
      </c>
    </row>
    <row r="102" spans="1:18">
      <c r="C102" s="168"/>
      <c r="D102" s="162" cm="1">
        <f t="array" aca="1" ref="D102" ca="1">IF(D105="yes",IF($D107="Left of Pair",INDIRECT("'Worksheet'!$S"&amp;$B97)/2,IF($D107="Panel",INDIRECT("'Worksheet'!$S"&amp;$B97)))," ")</f>
        <v>0.4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10</v>
      </c>
      <c r="L102" s="168"/>
      <c r="M102" s="345">
        <f t="shared" ca="1" si="7"/>
        <v>0.4</v>
      </c>
      <c r="N102" s="346" t="s">
        <v>41</v>
      </c>
      <c r="O102" s="373"/>
      <c r="P102" s="20"/>
      <c r="Q102" s="344" t="s">
        <v>116</v>
      </c>
      <c r="R102" s="32">
        <f ca="1">I102</f>
        <v>10</v>
      </c>
    </row>
    <row r="103" spans="1:18" ht="12.75" customHeight="1">
      <c r="C103" s="169" t="s">
        <v>114</v>
      </c>
      <c r="D103" s="374" t="str" cm="1">
        <f t="array" aca="1" ref="D103" ca="1">INDIRECT("'Worksheet'!$B"&amp;$B97)</f>
        <v>Chapel Door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9" t="s">
        <v>114</v>
      </c>
      <c r="M103" s="31" t="str">
        <f t="shared" ca="1" si="7"/>
        <v>Chapel Door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>YES</v>
      </c>
      <c r="E105" s="348" t="str" cm="1">
        <f t="array" aca="1" ref="E105" ca="1">INDIRECT("'Worksheet'!$X"&amp;$B97)</f>
        <v xml:space="preserve">Flameguard </v>
      </c>
      <c r="F105" s="39"/>
      <c r="G105" s="20"/>
      <c r="H105" s="393" cm="1">
        <f t="array" aca="1" ref="H105" ca="1">INDIRECT("'Worksheet'!$R"&amp;$B97)</f>
        <v>64</v>
      </c>
      <c r="I105" s="446"/>
      <c r="J105" s="40"/>
      <c r="L105" s="165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4">
        <f ca="1">H105</f>
        <v>64</v>
      </c>
      <c r="R105" s="446"/>
    </row>
    <row r="106" spans="1:18" ht="15.75" customHeight="1">
      <c r="C106" s="165" t="s">
        <v>13</v>
      </c>
      <c r="D106" s="348" t="str" cm="1">
        <f t="array" aca="1" ref="D106" ca="1">INDIRECT("'Worksheet'!$W"&amp;$B97)</f>
        <v>5th Avenue 72</v>
      </c>
      <c r="E106" s="22"/>
      <c r="F106" s="23"/>
      <c r="G106" s="22"/>
      <c r="H106" s="393" cm="1">
        <f t="array" aca="1" ref="H106" ca="1">INDIRECT("'Worksheet'!$P"&amp;$B97)</f>
        <v>74</v>
      </c>
      <c r="I106" s="447"/>
      <c r="L106" s="165" t="s">
        <v>13</v>
      </c>
      <c r="M106" s="21" t="str">
        <f t="shared" ca="1" si="7"/>
        <v>5th Avenue 72</v>
      </c>
      <c r="N106" s="22"/>
      <c r="O106" s="23"/>
      <c r="P106" s="22"/>
      <c r="Q106" s="394">
        <f ca="1">H106</f>
        <v>74</v>
      </c>
      <c r="R106" s="447"/>
    </row>
    <row r="107" spans="1:18" ht="23.25">
      <c r="C107" s="349" t="str" cm="1">
        <f t="array" aca="1" ref="C107" ca="1">INDIRECT("'Worksheet'!$J"&amp;$B97)</f>
        <v>sor t&amp;b</v>
      </c>
      <c r="D107" s="444" t="str" cm="1">
        <f t="array" aca="1" ref="D107" ca="1">IF(INDIRECT("'Worksheet'!$D"&amp;$B97)=1, "Left of Pair", IF(INDIRECT("'Worksheet'!$E"&amp;$B97)=1, "Panel"))</f>
        <v>Panel</v>
      </c>
      <c r="E107" s="444"/>
      <c r="F107" s="444"/>
      <c r="G107" s="375"/>
      <c r="H107" s="375" t="str" cm="1">
        <f t="array" aca="1" ref="H107" ca="1">IF(INDIRECT("'Worksheet'!$F"&amp;$B97)="st","SOR T&amp;B"," ")</f>
        <v>SOR T&amp;B</v>
      </c>
      <c r="I107" s="376"/>
      <c r="L107" s="41" t="str">
        <f ca="1">$C107</f>
        <v>sor t&amp;b</v>
      </c>
      <c r="M107" s="444" t="str" cm="1">
        <f t="array" aca="1" ref="M107" ca="1">IF(INDIRECT("'Worksheet'!$D"&amp;$B97)=1, "Right of Pair", IF(INDIRECT("'Worksheet'!$E"&amp;$B97)=1, "Do Not Use"))</f>
        <v>Do Not Use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+Worksheet!$W$4</f>
        <v xml:space="preserve">Alamo-1  WO#J5003033-00233 </v>
      </c>
      <c r="E109" s="22"/>
      <c r="F109" s="23"/>
      <c r="G109" s="22"/>
      <c r="H109" s="24"/>
      <c r="I109" s="25">
        <f>+Worksheet!$AR$1</f>
        <v>32981</v>
      </c>
      <c r="J109" s="26"/>
      <c r="L109" s="165" t="s">
        <v>113</v>
      </c>
      <c r="M109" s="21" t="str">
        <f>+Worksheet!$W$4</f>
        <v xml:space="preserve">Alamo-1  WO#J5003033-00233 </v>
      </c>
      <c r="N109" s="22"/>
      <c r="O109" s="23"/>
      <c r="P109" s="22"/>
      <c r="Q109" s="24"/>
      <c r="R109" s="25">
        <f>+Worksheet!$AR$1</f>
        <v>32981</v>
      </c>
    </row>
    <row r="110" spans="1:18" ht="32.25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47"/>
    </row>
    <row r="119" spans="1:18" ht="23.25">
      <c r="C119" s="349" cm="1">
        <f t="array" aca="1" ref="C119" ca="1">INDIRECT("'Worksheet'!$J"&amp;$B109)</f>
        <v>0</v>
      </c>
      <c r="D119" s="444" t="b" cm="1">
        <f t="array" aca="1" ref="D119" ca="1">IF(INDIRECT("'Worksheet'!$D"&amp;$B109)=1, "Left of Pair", IF(INDIRECT("'Worksheet'!$E"&amp;$B109)=1, "Panel"))</f>
        <v>0</v>
      </c>
      <c r="E119" s="444"/>
      <c r="F119" s="444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IF(INDIRECT("'Worksheet'!$D"&amp;$B109)=1, "Right of Pair", IF(INDIRECT("'Worksheet'!$E"&amp;$B109)=1,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+Worksheet!$W$4</f>
        <v xml:space="preserve">Alamo-1  WO#J5003033-00233 </v>
      </c>
      <c r="E123" s="22"/>
      <c r="F123" s="23"/>
      <c r="G123" s="22"/>
      <c r="H123" s="24"/>
      <c r="I123" s="25">
        <f>+Worksheet!$AR$1</f>
        <v>32981</v>
      </c>
      <c r="J123" s="26"/>
      <c r="L123" s="165" t="s">
        <v>113</v>
      </c>
      <c r="M123" s="21" t="str">
        <f>+Worksheet!$W$4</f>
        <v xml:space="preserve">Alamo-1  WO#J5003033-00233 </v>
      </c>
      <c r="N123" s="22"/>
      <c r="O123" s="23"/>
      <c r="P123" s="22"/>
      <c r="Q123" s="24"/>
      <c r="R123" s="25">
        <f>+Worksheet!$AR$1</f>
        <v>32981</v>
      </c>
    </row>
    <row r="124" spans="1:18" ht="32.25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47"/>
    </row>
    <row r="133" spans="1:18" ht="23.25">
      <c r="C133" s="349" cm="1">
        <f t="array" aca="1" ref="C133" ca="1">INDIRECT("'Worksheet'!$J"&amp;$B123)</f>
        <v>0</v>
      </c>
      <c r="D133" s="444" t="b" cm="1">
        <f t="array" aca="1" ref="D133" ca="1">IF(INDIRECT("'Worksheet'!$D"&amp;$B123)=1, "Left of Pair", IF(INDIRECT("'Worksheet'!$E"&amp;$B123)=1, "Panel"))</f>
        <v>0</v>
      </c>
      <c r="E133" s="444"/>
      <c r="F133" s="444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IF(INDIRECT("'Worksheet'!$D"&amp;$B123)=1, "Right of Pair", IF(INDIRECT("'Worksheet'!$E"&amp;$B123)=1,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+Worksheet!$W$4</f>
        <v xml:space="preserve">Alamo-1  WO#J5003033-00233 </v>
      </c>
      <c r="E137" s="22"/>
      <c r="F137" s="23"/>
      <c r="G137" s="22"/>
      <c r="H137" s="24"/>
      <c r="I137" s="25">
        <f>+Worksheet!$AR$1</f>
        <v>32981</v>
      </c>
      <c r="J137" s="26"/>
      <c r="L137" s="165" t="s">
        <v>113</v>
      </c>
      <c r="M137" s="21" t="str">
        <f>+Worksheet!$W$4</f>
        <v xml:space="preserve">Alamo-1  WO#J5003033-00233 </v>
      </c>
      <c r="N137" s="22"/>
      <c r="O137" s="23"/>
      <c r="P137" s="22"/>
      <c r="Q137" s="24"/>
      <c r="R137" s="25">
        <f>+Worksheet!$AR$1</f>
        <v>32981</v>
      </c>
    </row>
    <row r="138" spans="1:18" ht="32.25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47"/>
    </row>
    <row r="147" spans="1:18" ht="23.25">
      <c r="C147" s="349" cm="1">
        <f t="array" aca="1" ref="C147" ca="1">INDIRECT("'Worksheet'!$J"&amp;$B137)</f>
        <v>0</v>
      </c>
      <c r="D147" s="444" t="b" cm="1">
        <f t="array" aca="1" ref="D147" ca="1">IF(INDIRECT("'Worksheet'!$D"&amp;$B137)=1, "Left of Pair", IF(INDIRECT("'Worksheet'!$E"&amp;$B137)=1, "Panel"))</f>
        <v>0</v>
      </c>
      <c r="E147" s="444"/>
      <c r="F147" s="444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IF(INDIRECT("'Worksheet'!$D"&amp;$B137)=1, "Right of Pair", IF(INDIRECT("'Worksheet'!$E"&amp;$B137)=1,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+Worksheet!$W$4</f>
        <v xml:space="preserve">Alamo-1  WO#J5003033-00233 </v>
      </c>
      <c r="E151" s="22"/>
      <c r="F151" s="23"/>
      <c r="G151" s="22"/>
      <c r="H151" s="24"/>
      <c r="I151" s="25">
        <f>+Worksheet!$AR$1</f>
        <v>32981</v>
      </c>
      <c r="J151" s="26"/>
      <c r="L151" s="165" t="s">
        <v>113</v>
      </c>
      <c r="M151" s="21" t="str">
        <f>+Worksheet!$W$4</f>
        <v xml:space="preserve">Alamo-1  WO#J5003033-00233 </v>
      </c>
      <c r="N151" s="22"/>
      <c r="O151" s="23"/>
      <c r="P151" s="22"/>
      <c r="Q151" s="24"/>
      <c r="R151" s="25">
        <f>+Worksheet!$AR$1</f>
        <v>32981</v>
      </c>
    </row>
    <row r="152" spans="1:18" ht="32.25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47"/>
    </row>
    <row r="161" spans="1:18" ht="23.25">
      <c r="C161" s="349" cm="1">
        <f t="array" aca="1" ref="C161" ca="1">INDIRECT("'Worksheet'!$J"&amp;$B151)</f>
        <v>0</v>
      </c>
      <c r="D161" s="444" t="b" cm="1">
        <f t="array" aca="1" ref="D161" ca="1">IF(INDIRECT("'Worksheet'!$D"&amp;$B151)=1, "Left of Pair", IF(INDIRECT("'Worksheet'!$E"&amp;$B151)=1, "Panel"))</f>
        <v>0</v>
      </c>
      <c r="E161" s="444"/>
      <c r="F161" s="444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IF(INDIRECT("'Worksheet'!$D"&amp;$B151)=1, "Right of Pair", IF(INDIRECT("'Worksheet'!$E"&amp;$B151)=1,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+Worksheet!$W$4</f>
        <v xml:space="preserve">Alamo-1  WO#J5003033-00233 </v>
      </c>
      <c r="E163" s="22"/>
      <c r="F163" s="23"/>
      <c r="G163" s="22"/>
      <c r="H163" s="24"/>
      <c r="I163" s="25">
        <f>+Worksheet!$AR$1</f>
        <v>32981</v>
      </c>
      <c r="J163" s="26"/>
      <c r="L163" s="165" t="s">
        <v>113</v>
      </c>
      <c r="M163" s="21" t="str">
        <f>+Worksheet!$W$4</f>
        <v xml:space="preserve">Alamo-1  WO#J5003033-00233 </v>
      </c>
      <c r="N163" s="22"/>
      <c r="O163" s="23"/>
      <c r="P163" s="22"/>
      <c r="Q163" s="24"/>
      <c r="R163" s="25">
        <f>+Worksheet!$AR$1</f>
        <v>32981</v>
      </c>
    </row>
    <row r="164" spans="1:18" ht="32.25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47"/>
    </row>
    <row r="173" spans="1:18" ht="23.25">
      <c r="C173" s="349" cm="1">
        <f t="array" aca="1" ref="C173" ca="1">INDIRECT("'Worksheet'!$J"&amp;$B163)</f>
        <v>0</v>
      </c>
      <c r="D173" s="444" t="b" cm="1">
        <f t="array" aca="1" ref="D173" ca="1">IF(INDIRECT("'Worksheet'!$D"&amp;$B163)=1, "Left of Pair", IF(INDIRECT("'Worksheet'!$E"&amp;$B163)=1, "Panel"))</f>
        <v>0</v>
      </c>
      <c r="E173" s="444"/>
      <c r="F173" s="444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IF(INDIRECT("'Worksheet'!$D"&amp;$B163)=1, "Right of Pair", IF(INDIRECT("'Worksheet'!$E"&amp;$B163)=1,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+Worksheet!$W$4</f>
        <v xml:space="preserve">Alamo-1  WO#J5003033-00233 </v>
      </c>
      <c r="E177" s="22"/>
      <c r="F177" s="23"/>
      <c r="G177" s="22"/>
      <c r="H177" s="24"/>
      <c r="I177" s="25">
        <f>+Worksheet!$AR$1</f>
        <v>32981</v>
      </c>
      <c r="J177" s="26"/>
      <c r="L177" s="165" t="s">
        <v>113</v>
      </c>
      <c r="M177" s="21" t="str">
        <f>+Worksheet!$W$4</f>
        <v xml:space="preserve">Alamo-1  WO#J5003033-00233 </v>
      </c>
      <c r="N177" s="22"/>
      <c r="O177" s="23"/>
      <c r="P177" s="22"/>
      <c r="Q177" s="24"/>
      <c r="R177" s="25">
        <f>+Worksheet!$AR$1</f>
        <v>32981</v>
      </c>
    </row>
    <row r="178" spans="1:18" ht="32.25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47"/>
    </row>
    <row r="187" spans="1:18" ht="23.25">
      <c r="C187" s="349" cm="1">
        <f t="array" aca="1" ref="C187" ca="1">INDIRECT("'Worksheet'!$J"&amp;$B177)</f>
        <v>0</v>
      </c>
      <c r="D187" s="444" t="b" cm="1">
        <f t="array" aca="1" ref="D187" ca="1">IF(INDIRECT("'Worksheet'!$D"&amp;$B177)=1, "Left of Pair", IF(INDIRECT("'Worksheet'!$E"&amp;$B177)=1, "Panel"))</f>
        <v>0</v>
      </c>
      <c r="E187" s="444"/>
      <c r="F187" s="444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IF(INDIRECT("'Worksheet'!$D"&amp;$B177)=1, "Right of Pair", IF(INDIRECT("'Worksheet'!$E"&amp;$B177)=1,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+Worksheet!$W$4</f>
        <v xml:space="preserve">Alamo-1  WO#J5003033-00233 </v>
      </c>
      <c r="E191" s="22"/>
      <c r="F191" s="23"/>
      <c r="G191" s="22"/>
      <c r="H191" s="24"/>
      <c r="I191" s="25">
        <f>+Worksheet!$AR$1</f>
        <v>32981</v>
      </c>
      <c r="J191" s="26"/>
      <c r="L191" s="165" t="s">
        <v>113</v>
      </c>
      <c r="M191" s="21" t="str">
        <f>+Worksheet!$W$4</f>
        <v xml:space="preserve">Alamo-1  WO#J5003033-00233 </v>
      </c>
      <c r="N191" s="22"/>
      <c r="O191" s="23"/>
      <c r="P191" s="22"/>
      <c r="Q191" s="24"/>
      <c r="R191" s="25">
        <f>+Worksheet!$AR$1</f>
        <v>32981</v>
      </c>
    </row>
    <row r="192" spans="1:18" ht="32.25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47"/>
    </row>
    <row r="201" spans="1:18" ht="23.25">
      <c r="C201" s="349" cm="1">
        <f t="array" aca="1" ref="C201" ca="1">INDIRECT("'Worksheet'!$J"&amp;$B191)</f>
        <v>0</v>
      </c>
      <c r="D201" s="444" t="b" cm="1">
        <f t="array" aca="1" ref="D201" ca="1">IF(INDIRECT("'Worksheet'!$D"&amp;$B191)=1, "Left of Pair", IF(INDIRECT("'Worksheet'!$E"&amp;$B191)=1, "Panel"))</f>
        <v>0</v>
      </c>
      <c r="E201" s="444"/>
      <c r="F201" s="444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IF(INDIRECT("'Worksheet'!$D"&amp;$B191)=1, "Right of Pair", IF(INDIRECT("'Worksheet'!$E"&amp;$B191)=1,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+Worksheet!$W$4</f>
        <v xml:space="preserve">Alamo-1  WO#J5003033-00233 </v>
      </c>
      <c r="E205" s="22"/>
      <c r="F205" s="23"/>
      <c r="G205" s="22"/>
      <c r="H205" s="24"/>
      <c r="I205" s="25">
        <f>+Worksheet!$AR$1</f>
        <v>32981</v>
      </c>
      <c r="J205" s="26"/>
      <c r="L205" s="165" t="s">
        <v>113</v>
      </c>
      <c r="M205" s="21" t="str">
        <f>+Worksheet!$W$4</f>
        <v xml:space="preserve">Alamo-1  WO#J5003033-00233 </v>
      </c>
      <c r="N205" s="22"/>
      <c r="O205" s="23"/>
      <c r="P205" s="22"/>
      <c r="Q205" s="24"/>
      <c r="R205" s="25">
        <f>+Worksheet!$AR$1</f>
        <v>32981</v>
      </c>
    </row>
    <row r="206" spans="1:18" ht="32.25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47"/>
    </row>
    <row r="215" spans="1:18" ht="23.25">
      <c r="C215" s="349" cm="1">
        <f t="array" aca="1" ref="C215" ca="1">INDIRECT("'Worksheet'!$J"&amp;$B205)</f>
        <v>0</v>
      </c>
      <c r="D215" s="444" t="b" cm="1">
        <f t="array" aca="1" ref="D215" ca="1">IF(INDIRECT("'Worksheet'!$D"&amp;$B205)=1, "Left of Pair", IF(INDIRECT("'Worksheet'!$E"&amp;$B205)=1, "Panel"))</f>
        <v>0</v>
      </c>
      <c r="E215" s="444"/>
      <c r="F215" s="444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IF(INDIRECT("'Worksheet'!$D"&amp;$B205)=1, "Right of Pair", IF(INDIRECT("'Worksheet'!$E"&amp;$B205)=1,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+Worksheet!$W$4</f>
        <v xml:space="preserve">Alamo-1  WO#J5003033-00233 </v>
      </c>
      <c r="E217" s="22"/>
      <c r="F217" s="23"/>
      <c r="G217" s="22"/>
      <c r="H217" s="24"/>
      <c r="I217" s="25">
        <f>+Worksheet!$AR$1</f>
        <v>32981</v>
      </c>
      <c r="J217" s="26"/>
      <c r="L217" s="165" t="s">
        <v>113</v>
      </c>
      <c r="M217" s="21" t="str">
        <f>+Worksheet!$W$4</f>
        <v xml:space="preserve">Alamo-1  WO#J5003033-00233 </v>
      </c>
      <c r="N217" s="22"/>
      <c r="O217" s="23"/>
      <c r="P217" s="22"/>
      <c r="Q217" s="24"/>
      <c r="R217" s="25">
        <f>+Worksheet!$AR$1</f>
        <v>32981</v>
      </c>
    </row>
    <row r="218" spans="1:18" ht="32.25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47"/>
    </row>
    <row r="227" spans="1:18" ht="23.25">
      <c r="C227" s="349" cm="1">
        <f t="array" aca="1" ref="C227" ca="1">INDIRECT("'Worksheet'!$J"&amp;$B217)</f>
        <v>0</v>
      </c>
      <c r="D227" s="444" t="b" cm="1">
        <f t="array" aca="1" ref="D227" ca="1">IF(INDIRECT("'Worksheet'!$D"&amp;$B217)=1, "Left of Pair", IF(INDIRECT("'Worksheet'!$E"&amp;$B217)=1, "Panel"))</f>
        <v>0</v>
      </c>
      <c r="E227" s="444"/>
      <c r="F227" s="444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IF(INDIRECT("'Worksheet'!$D"&amp;$B217)=1, "Right of Pair", IF(INDIRECT("'Worksheet'!$E"&amp;$B217)=1,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+Worksheet!$W$4</f>
        <v xml:space="preserve">Alamo-1  WO#J5003033-00233 </v>
      </c>
      <c r="E231" s="22"/>
      <c r="F231" s="23"/>
      <c r="G231" s="22"/>
      <c r="H231" s="24"/>
      <c r="I231" s="25">
        <f>+Worksheet!$AR$1</f>
        <v>32981</v>
      </c>
      <c r="J231" s="26"/>
      <c r="L231" s="165" t="s">
        <v>113</v>
      </c>
      <c r="M231" s="21" t="str">
        <f>+Worksheet!$W$4</f>
        <v xml:space="preserve">Alamo-1  WO#J5003033-00233 </v>
      </c>
      <c r="N231" s="22"/>
      <c r="O231" s="23"/>
      <c r="P231" s="22"/>
      <c r="Q231" s="24"/>
      <c r="R231" s="25">
        <f>+Worksheet!$AR$1</f>
        <v>32981</v>
      </c>
    </row>
    <row r="232" spans="1:18" ht="32.25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47"/>
    </row>
    <row r="241" spans="1:18" ht="23.25">
      <c r="C241" s="349" cm="1">
        <f t="array" aca="1" ref="C241" ca="1">INDIRECT("'Worksheet'!$J"&amp;$B231)</f>
        <v>0</v>
      </c>
      <c r="D241" s="444" t="b" cm="1">
        <f t="array" aca="1" ref="D241" ca="1">IF(INDIRECT("'Worksheet'!$D"&amp;$B231)=1, "Left of Pair", IF(INDIRECT("'Worksheet'!$E"&amp;$B231)=1, "Panel"))</f>
        <v>0</v>
      </c>
      <c r="E241" s="444"/>
      <c r="F241" s="444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IF(INDIRECT("'Worksheet'!$D"&amp;$B231)=1, "Right of Pair", IF(INDIRECT("'Worksheet'!$E"&amp;$B231)=1,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+Worksheet!$W$4</f>
        <v xml:space="preserve">Alamo-1  WO#J5003033-00233 </v>
      </c>
      <c r="E245" s="22"/>
      <c r="F245" s="23"/>
      <c r="G245" s="22"/>
      <c r="H245" s="24"/>
      <c r="I245" s="25">
        <f>+Worksheet!$AR$1</f>
        <v>32981</v>
      </c>
      <c r="J245" s="26"/>
      <c r="L245" s="165" t="s">
        <v>113</v>
      </c>
      <c r="M245" s="21" t="str">
        <f>+Worksheet!$W$4</f>
        <v xml:space="preserve">Alamo-1  WO#J5003033-00233 </v>
      </c>
      <c r="N245" s="22"/>
      <c r="O245" s="23"/>
      <c r="P245" s="22"/>
      <c r="Q245" s="24"/>
      <c r="R245" s="25">
        <f>+Worksheet!$AR$1</f>
        <v>32981</v>
      </c>
    </row>
    <row r="246" spans="1:18" ht="32.25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47"/>
    </row>
    <row r="255" spans="1:18" ht="23.25">
      <c r="C255" s="349" cm="1">
        <f t="array" aca="1" ref="C255" ca="1">INDIRECT("'Worksheet'!$J"&amp;$B245)</f>
        <v>0</v>
      </c>
      <c r="D255" s="444" t="b" cm="1">
        <f t="array" aca="1" ref="D255" ca="1">IF(INDIRECT("'Worksheet'!$D"&amp;$B245)=1, "Left of Pair", IF(INDIRECT("'Worksheet'!$E"&amp;$B245)=1, "Panel"))</f>
        <v>0</v>
      </c>
      <c r="E255" s="444"/>
      <c r="F255" s="444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IF(INDIRECT("'Worksheet'!$D"&amp;$B245)=1, "Right of Pair", IF(INDIRECT("'Worksheet'!$E"&amp;$B245)=1,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+Worksheet!$W$4</f>
        <v xml:space="preserve">Alamo-1  WO#J5003033-00233 </v>
      </c>
      <c r="E259" s="22"/>
      <c r="F259" s="23"/>
      <c r="G259" s="22"/>
      <c r="H259" s="24"/>
      <c r="I259" s="25">
        <f>+Worksheet!$AR$1</f>
        <v>32981</v>
      </c>
      <c r="J259" s="26"/>
      <c r="L259" s="165" t="s">
        <v>113</v>
      </c>
      <c r="M259" s="21" t="str">
        <f>+Worksheet!$W$4</f>
        <v xml:space="preserve">Alamo-1  WO#J5003033-00233 </v>
      </c>
      <c r="N259" s="22"/>
      <c r="O259" s="23"/>
      <c r="P259" s="22"/>
      <c r="Q259" s="24"/>
      <c r="R259" s="25">
        <f>+Worksheet!$AR$1</f>
        <v>32981</v>
      </c>
    </row>
    <row r="260" spans="1:18" ht="32.25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47"/>
    </row>
    <row r="269" spans="1:18" ht="23.25">
      <c r="C269" s="349" cm="1">
        <f t="array" aca="1" ref="C269" ca="1">INDIRECT("'Worksheet'!$J"&amp;$B259)</f>
        <v>0</v>
      </c>
      <c r="D269" s="444" t="b" cm="1">
        <f t="array" aca="1" ref="D269" ca="1">IF(INDIRECT("'Worksheet'!$D"&amp;$B259)=1, "Left of Pair", IF(INDIRECT("'Worksheet'!$E"&amp;$B259)=1, "Panel"))</f>
        <v>0</v>
      </c>
      <c r="E269" s="444"/>
      <c r="F269" s="444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IF(INDIRECT("'Worksheet'!$D"&amp;$B259)=1, "Right of Pair", IF(INDIRECT("'Worksheet'!$E"&amp;$B259)=1,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topLeftCell="A14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Alamo-1  WO#J5003033-00233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Chapel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23</v>
      </c>
      <c r="H17" s="115">
        <f>Worksheet!H17</f>
        <v>3.5</v>
      </c>
      <c r="I17" s="112">
        <f>Worksheet!I17</f>
        <v>62</v>
      </c>
      <c r="J17" s="246" t="str">
        <f t="shared" si="1"/>
        <v>dead</v>
      </c>
      <c r="K17" s="246">
        <f t="shared" si="2"/>
        <v>23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5">
        <f>Worksheet!Q17</f>
        <v>1</v>
      </c>
      <c r="R17" s="251">
        <f>Worksheet!R17</f>
        <v>64</v>
      </c>
      <c r="S17" s="326">
        <f>Worksheet!S17</f>
        <v>1.2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 Door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ST</v>
      </c>
      <c r="G18" s="112">
        <f>Worksheet!G18</f>
        <v>10</v>
      </c>
      <c r="H18" s="115">
        <f>Worksheet!H18</f>
        <v>0</v>
      </c>
      <c r="I18" s="112">
        <f>Worksheet!I18</f>
        <v>17</v>
      </c>
      <c r="J18" s="246" t="str">
        <f t="shared" si="1"/>
        <v>sor t&amp;b</v>
      </c>
      <c r="K18" s="246">
        <f t="shared" si="2"/>
        <v>10</v>
      </c>
      <c r="L18" s="247">
        <f t="shared" si="3"/>
        <v>0</v>
      </c>
      <c r="M18" s="248">
        <f>Worksheet!M18</f>
        <v>0</v>
      </c>
      <c r="N18" s="249" t="str">
        <f t="shared" si="4"/>
        <v>x</v>
      </c>
      <c r="O18" s="250">
        <f t="shared" si="0"/>
        <v>17</v>
      </c>
      <c r="P18" s="251">
        <f>Worksheet!P18</f>
        <v>74</v>
      </c>
      <c r="Q18" s="325">
        <f>Worksheet!Q18</f>
        <v>0.35</v>
      </c>
      <c r="R18" s="251">
        <f>Worksheet!R18</f>
        <v>64</v>
      </c>
      <c r="S18" s="326">
        <f>Worksheet!S18</f>
        <v>0.4</v>
      </c>
      <c r="T18" s="114">
        <v>0</v>
      </c>
      <c r="U18" s="245">
        <f t="shared" si="5"/>
        <v>1</v>
      </c>
      <c r="V18" s="222" t="str">
        <f>Worksheet!V18</f>
        <v>Sash</v>
      </c>
      <c r="W18" s="222" t="str">
        <f>Worksheet!W18</f>
        <v>5th Avenue 72</v>
      </c>
      <c r="X18" s="223" t="str">
        <f>Worksheet!X18</f>
        <v xml:space="preserve">Flameguard </v>
      </c>
      <c r="Y18" s="58" t="str">
        <f>Worksheet!Y18</f>
        <v>1 1/2' Top &amp; Bottom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18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28.75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4.6142857142857139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7" t="str">
        <f>Worksheet!W4</f>
        <v xml:space="preserve">Alamo-1  WO#J5003033-00233 </v>
      </c>
      <c r="X4" s="457"/>
      <c r="Y4" s="208" t="s">
        <v>2297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Worksheet!W5</f>
        <v>State Rd 169 MM 28 5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32981</v>
      </c>
      <c r="R6" s="459"/>
      <c r="S6" s="58"/>
      <c r="T6" s="172"/>
      <c r="U6" s="76"/>
      <c r="V6" s="67"/>
      <c r="W6" s="430" t="str">
        <f>Worksheet!W6</f>
        <v>Alamo, NM 87825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Box#3033 Gate lock 1830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Chapel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23</v>
      </c>
      <c r="H17" s="115">
        <f>Worksheet!H17</f>
        <v>3.5</v>
      </c>
      <c r="I17" s="112">
        <f>Worksheet!I17</f>
        <v>62</v>
      </c>
      <c r="J17" s="246" t="str">
        <f t="shared" si="1"/>
        <v>dead</v>
      </c>
      <c r="K17" s="246">
        <f t="shared" si="2"/>
        <v>23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5">
        <f>Worksheet!Q17</f>
        <v>1</v>
      </c>
      <c r="R17" s="251">
        <f>Worksheet!R17</f>
        <v>64</v>
      </c>
      <c r="S17" s="326">
        <f>Worksheet!S17</f>
        <v>1.2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 Door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ST</v>
      </c>
      <c r="G18" s="112">
        <f>Worksheet!G18</f>
        <v>10</v>
      </c>
      <c r="H18" s="115">
        <f>Worksheet!H18</f>
        <v>0</v>
      </c>
      <c r="I18" s="112">
        <f>Worksheet!I18</f>
        <v>17</v>
      </c>
      <c r="J18" s="246" t="str">
        <f t="shared" si="1"/>
        <v>sor t&amp;b</v>
      </c>
      <c r="K18" s="246">
        <f t="shared" si="2"/>
        <v>10</v>
      </c>
      <c r="L18" s="247">
        <f t="shared" si="3"/>
        <v>0</v>
      </c>
      <c r="M18" s="248">
        <f>Worksheet!M18</f>
        <v>0</v>
      </c>
      <c r="N18" s="249" t="str">
        <f t="shared" si="4"/>
        <v>x</v>
      </c>
      <c r="O18" s="250">
        <f t="shared" si="0"/>
        <v>17</v>
      </c>
      <c r="P18" s="251">
        <f>Worksheet!P18</f>
        <v>74</v>
      </c>
      <c r="Q18" s="325">
        <f>Worksheet!Q18</f>
        <v>0.35</v>
      </c>
      <c r="R18" s="251">
        <f>Worksheet!R18</f>
        <v>64</v>
      </c>
      <c r="S18" s="326">
        <f>Worksheet!S18</f>
        <v>0.4</v>
      </c>
      <c r="T18" s="114">
        <v>0</v>
      </c>
      <c r="U18" s="245">
        <f t="shared" si="5"/>
        <v>1</v>
      </c>
      <c r="V18" s="222" t="str">
        <f>Worksheet!V18</f>
        <v>Sash</v>
      </c>
      <c r="W18" s="222" t="str">
        <f>Worksheet!W18</f>
        <v>5th Avenue 72</v>
      </c>
      <c r="X18" s="223" t="str">
        <f>Worksheet!X18</f>
        <v xml:space="preserve">Flameguard </v>
      </c>
      <c r="Y18" s="58" t="str">
        <f>Worksheet!Y18</f>
        <v>1 1/2' Top &amp; Bottom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32981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Alamo-1  WO#J5003033-00233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23</v>
      </c>
      <c r="H11" s="115">
        <f>Worksheet!H11</f>
        <v>3.5</v>
      </c>
      <c r="I11" s="112">
        <f>Worksheet!I11</f>
        <v>62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23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5">
        <f>Worksheet!Q11</f>
        <v>1</v>
      </c>
      <c r="R11" s="251">
        <f>Worksheet!R11</f>
        <v>64</v>
      </c>
      <c r="S11" s="326">
        <f>Worksheet!S11</f>
        <v>1.2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TAKE DOWN ALL OUTSIDE MOUNT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23</v>
      </c>
      <c r="H12" s="115">
        <f>Worksheet!H12</f>
        <v>3.5</v>
      </c>
      <c r="I12" s="112">
        <f>Worksheet!I12</f>
        <v>62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23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5">
        <f>Worksheet!Q12</f>
        <v>1</v>
      </c>
      <c r="R12" s="251">
        <f>Worksheet!R12</f>
        <v>64</v>
      </c>
      <c r="S12" s="326">
        <f>Worksheet!S12</f>
        <v>1.2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 t="str">
        <f>Worksheet!Y12</f>
        <v>MOUNT ALL NEW INSIDE WINDOW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23</v>
      </c>
      <c r="H13" s="115">
        <f>Worksheet!H13</f>
        <v>3.5</v>
      </c>
      <c r="I13" s="112">
        <f>Worksheet!I13</f>
        <v>62</v>
      </c>
      <c r="J13" s="246" t="str">
        <f t="shared" si="1"/>
        <v>dead</v>
      </c>
      <c r="K13" s="246">
        <f t="shared" si="2"/>
        <v>23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5">
        <f>Worksheet!Q13</f>
        <v>1</v>
      </c>
      <c r="R13" s="251">
        <f>Worksheet!R13</f>
        <v>64</v>
      </c>
      <c r="S13" s="326">
        <f>Worksheet!S13</f>
        <v>1.2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23</v>
      </c>
      <c r="H14" s="115">
        <f>Worksheet!H14</f>
        <v>3.5</v>
      </c>
      <c r="I14" s="112">
        <f>Worksheet!I14</f>
        <v>62</v>
      </c>
      <c r="J14" s="246" t="str">
        <f t="shared" si="1"/>
        <v>dead</v>
      </c>
      <c r="K14" s="246">
        <f t="shared" si="2"/>
        <v>23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5">
        <f>Worksheet!Q14</f>
        <v>1</v>
      </c>
      <c r="R14" s="251">
        <f>Worksheet!R14</f>
        <v>64</v>
      </c>
      <c r="S14" s="326">
        <f>Worksheet!S14</f>
        <v>1.2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23</v>
      </c>
      <c r="H15" s="115">
        <f>Worksheet!H15</f>
        <v>3.5</v>
      </c>
      <c r="I15" s="112">
        <f>Worksheet!I15</f>
        <v>62</v>
      </c>
      <c r="J15" s="246" t="str">
        <f t="shared" si="1"/>
        <v>dead</v>
      </c>
      <c r="K15" s="246">
        <f t="shared" si="2"/>
        <v>23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62</v>
      </c>
      <c r="P15" s="251">
        <f>Worksheet!P15</f>
        <v>74</v>
      </c>
      <c r="Q15" s="325">
        <f>Worksheet!Q15</f>
        <v>1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23</v>
      </c>
      <c r="H16" s="115">
        <f>Worksheet!H16</f>
        <v>3.5</v>
      </c>
      <c r="I16" s="112">
        <f>Worksheet!I16</f>
        <v>62</v>
      </c>
      <c r="J16" s="246" t="str">
        <f t="shared" si="1"/>
        <v>dead</v>
      </c>
      <c r="K16" s="246">
        <f t="shared" si="2"/>
        <v>23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62</v>
      </c>
      <c r="P16" s="251">
        <f>Worksheet!P16</f>
        <v>74</v>
      </c>
      <c r="Q16" s="325">
        <f>Worksheet!Q16</f>
        <v>1</v>
      </c>
      <c r="R16" s="251">
        <f>Worksheet!R16</f>
        <v>64</v>
      </c>
      <c r="S16" s="326">
        <f>Worksheet!S16</f>
        <v>1.2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Chapel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23</v>
      </c>
      <c r="H17" s="115">
        <f>Worksheet!H17</f>
        <v>3.5</v>
      </c>
      <c r="I17" s="112">
        <f>Worksheet!I17</f>
        <v>62</v>
      </c>
      <c r="J17" s="246" t="str">
        <f t="shared" si="1"/>
        <v>dead</v>
      </c>
      <c r="K17" s="246">
        <f t="shared" si="2"/>
        <v>23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5">
        <f>Worksheet!Q17</f>
        <v>1</v>
      </c>
      <c r="R17" s="251">
        <f>Worksheet!R17</f>
        <v>64</v>
      </c>
      <c r="S17" s="326">
        <f>Worksheet!S17</f>
        <v>1.2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 Door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ST</v>
      </c>
      <c r="G18" s="112">
        <f>Worksheet!G18</f>
        <v>10</v>
      </c>
      <c r="H18" s="115">
        <f>Worksheet!H18</f>
        <v>0</v>
      </c>
      <c r="I18" s="112">
        <f>Worksheet!I18</f>
        <v>17</v>
      </c>
      <c r="J18" s="246" t="str">
        <f t="shared" si="1"/>
        <v>sor t&amp;b</v>
      </c>
      <c r="K18" s="246">
        <f t="shared" si="2"/>
        <v>10</v>
      </c>
      <c r="L18" s="247">
        <f t="shared" si="3"/>
        <v>0</v>
      </c>
      <c r="M18" s="248">
        <f>Worksheet!M18</f>
        <v>0</v>
      </c>
      <c r="N18" s="249" t="str">
        <f t="shared" si="4"/>
        <v>x</v>
      </c>
      <c r="O18" s="250">
        <f t="shared" si="0"/>
        <v>17</v>
      </c>
      <c r="P18" s="251">
        <f>Worksheet!P18</f>
        <v>74</v>
      </c>
      <c r="Q18" s="325">
        <f>Worksheet!Q18</f>
        <v>0.35</v>
      </c>
      <c r="R18" s="251">
        <f>Worksheet!R18</f>
        <v>64</v>
      </c>
      <c r="S18" s="326">
        <f>Worksheet!S18</f>
        <v>0.4</v>
      </c>
      <c r="T18" s="114">
        <v>0</v>
      </c>
      <c r="U18" s="245">
        <f t="shared" si="5"/>
        <v>1</v>
      </c>
      <c r="V18" s="222" t="str">
        <f>Worksheet!V18</f>
        <v>Sash</v>
      </c>
      <c r="W18" s="222" t="str">
        <f>Worksheet!W18</f>
        <v>5th Avenue 72</v>
      </c>
      <c r="X18" s="223" t="str">
        <f>Worksheet!X18</f>
        <v xml:space="preserve">Flameguard </v>
      </c>
      <c r="Y18" s="58" t="str">
        <f>Worksheet!Y18</f>
        <v>1 1/2' Top &amp; Bottom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18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28.75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4.6142857142857139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5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5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SKSCM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SKSCM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SKSCM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SKSCM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7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7</v>
      </c>
      <c r="K40" s="232"/>
      <c r="L40" s="205">
        <v>6</v>
      </c>
      <c r="M40" s="238" t="str">
        <f>Worksheet!V16</f>
        <v>SKSCM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7</v>
      </c>
      <c r="K41" s="232"/>
      <c r="L41" s="205">
        <v>7</v>
      </c>
      <c r="M41" s="238" t="str">
        <f>Worksheet!V17</f>
        <v>SKSCM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7</v>
      </c>
      <c r="K42" s="232"/>
      <c r="L42" s="205">
        <v>8</v>
      </c>
      <c r="M42" s="238" t="str">
        <f>Worksheet!V18</f>
        <v>Sash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7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7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7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3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5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2.1666666666666665</v>
      </c>
      <c r="C68">
        <f>Worksheet!AE11</f>
        <v>4</v>
      </c>
      <c r="D68">
        <f>IF(Worksheet!AA11&gt;0,(Worksheet!AA11*Worksheet!P11+8)/36,0)</f>
        <v>2.2777777777777777</v>
      </c>
      <c r="E68">
        <f>IF(Worksheet!M11&gt;0,Worksheet!AA11+1,0)</f>
        <v>2</v>
      </c>
      <c r="F68">
        <f ca="1">IF(Worksheet!M11&gt;0,I39+2,0)</f>
        <v>9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2.1666666666666665</v>
      </c>
      <c r="C69">
        <f>Worksheet!AE12</f>
        <v>4</v>
      </c>
      <c r="D69">
        <f>IF(Worksheet!AA12&gt;0,(Worksheet!AA12*Worksheet!P12+8)/36,0)</f>
        <v>2.2777777777777777</v>
      </c>
      <c r="E69">
        <f>IF(Worksheet!M12&gt;0,Worksheet!AA12+1,0)</f>
        <v>2</v>
      </c>
      <c r="F69">
        <f ca="1">IF(Worksheet!M12&gt;0,I40+2,0)</f>
        <v>9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2.1666666666666665</v>
      </c>
      <c r="C70">
        <f>Worksheet!AE13</f>
        <v>4</v>
      </c>
      <c r="D70">
        <f>IF(Worksheet!AA13&gt;0,(Worksheet!AA13*Worksheet!P13+8)/36,0)</f>
        <v>2.2777777777777777</v>
      </c>
      <c r="E70">
        <f>IF(Worksheet!M13&gt;0,Worksheet!AA13+1,0)</f>
        <v>2</v>
      </c>
      <c r="F70">
        <f ca="1">IF(Worksheet!M13&gt;0,I41+2,0)</f>
        <v>9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2.1666666666666665</v>
      </c>
      <c r="C71">
        <f>Worksheet!AE14</f>
        <v>4</v>
      </c>
      <c r="D71">
        <f>IF(Worksheet!AA14&gt;0,(Worksheet!AA14*Worksheet!P14+8)/36,0)</f>
        <v>2.2777777777777777</v>
      </c>
      <c r="E71">
        <f>IF(Worksheet!M14&gt;0,Worksheet!AA14+1,0)</f>
        <v>2</v>
      </c>
      <c r="F71">
        <f ca="1">IF(Worksheet!M14&gt;0,I42+2,0)</f>
        <v>9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2.1666666666666665</v>
      </c>
      <c r="C72">
        <f>Worksheet!AE15</f>
        <v>4</v>
      </c>
      <c r="D72">
        <f>IF(Worksheet!AA15&gt;0,(Worksheet!AA15*Worksheet!P15+8)/36,0)</f>
        <v>2.2777777777777777</v>
      </c>
      <c r="E72">
        <f>IF(Worksheet!M15&gt;0,Worksheet!AA15+1,0)</f>
        <v>2</v>
      </c>
      <c r="F72">
        <f ca="1">IF(Worksheet!M15&gt;0,I43+2,0)</f>
        <v>9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2.1666666666666665</v>
      </c>
      <c r="C73">
        <f>Worksheet!AE16</f>
        <v>4</v>
      </c>
      <c r="D73">
        <f>IF(Worksheet!AA16&gt;0,(Worksheet!AA16*Worksheet!P16+8)/36,0)</f>
        <v>2.2777777777777777</v>
      </c>
      <c r="E73">
        <f>IF(Worksheet!M16&gt;0,Worksheet!AA16+1,0)</f>
        <v>2</v>
      </c>
      <c r="F73">
        <f ca="1">IF(Worksheet!M16&gt;0,I44+2,0)</f>
        <v>9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2.1666666666666665</v>
      </c>
      <c r="C74">
        <f>Worksheet!AE17</f>
        <v>4</v>
      </c>
      <c r="D74">
        <f>IF(Worksheet!AA17&gt;0,(Worksheet!AA17*Worksheet!P17+8)/36,0)</f>
        <v>2.2777777777777777</v>
      </c>
      <c r="E74">
        <f>IF(Worksheet!M17&gt;0,Worksheet!AA17+1,0)</f>
        <v>2</v>
      </c>
      <c r="F74">
        <f ca="1">IF(Worksheet!M17&gt;0,I45+2,0)</f>
        <v>9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0.27500000000000002</v>
      </c>
      <c r="C75">
        <f>Worksheet!AE18</f>
        <v>0.75</v>
      </c>
      <c r="D75">
        <f>IF(Worksheet!AA18&gt;0,(Worksheet!AA18*Worksheet!P18+8)/36,0)</f>
        <v>0.83888888888888891</v>
      </c>
      <c r="E75">
        <f>IF(Worksheet!M18&gt;0,Worksheet!AA18+1,0)</f>
        <v>0</v>
      </c>
      <c r="F75">
        <f>IF(Worksheet!M18&gt;0,I46+2,0)</f>
        <v>0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>
        <f>IF(Worksheet!M18&gt;0,I70+2,0)</f>
        <v>0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99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 t="str">
        <f>Worksheet!V17</f>
        <v>SKSCM</v>
      </c>
    </row>
    <row r="136" spans="2:2">
      <c r="B136" t="str">
        <f>Worksheet!V18</f>
        <v>Sash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32981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90" t="str">
        <f>Worksheet!W4</f>
        <v xml:space="preserve">Alamo-1  WO#J5003033-00233 </v>
      </c>
      <c r="X4" s="378"/>
      <c r="Y4" s="208" t="s">
        <v>2297</v>
      </c>
      <c r="Z4" s="212">
        <v>2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Alamo-1  WO#J5003033-00233 </v>
      </c>
      <c r="AI4" s="437"/>
      <c r="AJ4" s="437"/>
      <c r="AK4" s="437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State Rd 169 MM 28 5</v>
      </c>
      <c r="X5" s="377"/>
      <c r="Y5" s="377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Alamo, NM 87825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Box#3033 Gate lock 1830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f>sew_price</f>
        <v>35</v>
      </c>
      <c r="AM8" s="192">
        <f>install_price</f>
        <v>13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40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Alamo-1  WO#J5003033-00233 </v>
      </c>
      <c r="E1" s="22"/>
      <c r="F1" s="23"/>
      <c r="G1" s="22"/>
      <c r="H1" s="24"/>
      <c r="I1" s="25">
        <f>+'Worksheet 2'!$AR$1</f>
        <v>32981</v>
      </c>
      <c r="J1" s="26"/>
      <c r="L1" s="165" t="s">
        <v>113</v>
      </c>
      <c r="M1" s="21" t="str">
        <f>+'Worksheet 2'!$W$4</f>
        <v xml:space="preserve">Alamo-1  WO#J5003033-00233 </v>
      </c>
      <c r="N1" s="22"/>
      <c r="O1" s="23"/>
      <c r="P1" s="22"/>
      <c r="Q1" s="24"/>
      <c r="R1" s="25">
        <f>+'Worksheet 2'!$AR$1</f>
        <v>32981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8" cm="1">
        <f t="array" aca="1" ref="G3" ca="1">INDIRECT("'Worksheet 2'!$Y"&amp;$B1)</f>
        <v>0</v>
      </c>
      <c r="H3" s="448"/>
      <c r="I3" s="449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50">
        <f ca="1">G3</f>
        <v>0</v>
      </c>
      <c r="Q3" s="450"/>
      <c r="R3" s="451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8"/>
      <c r="H4" s="448"/>
      <c r="I4" s="449"/>
      <c r="L4" s="167"/>
      <c r="M4" s="162" t="b">
        <f t="shared" ca="1" si="0"/>
        <v>0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46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46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6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47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7"/>
    </row>
    <row r="11" spans="1:18" ht="23.25">
      <c r="C11" s="349" cm="1">
        <f t="array" aca="1" ref="C11" ca="1">INDIRECT("'Worksheet 2'!$J"&amp;$B1)</f>
        <v>0</v>
      </c>
      <c r="D11" s="444" t="b" cm="1">
        <f t="array" aca="1" ref="D11" ca="1">IF(INDIRECT("'Worksheet 2'!$D"&amp;$B1)=1, "Left of Pair", IF(INDIRECT("'Worksheet 2'!$E"&amp;$B1)=1, "Panel"))</f>
        <v>0</v>
      </c>
      <c r="E11" s="444"/>
      <c r="F11" s="444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44" t="b" cm="1">
        <f t="array" aca="1" ref="M11" ca="1">IF(INDIRECT("'Worksheet 2'!$D"&amp;$B1)=1, "Right of Pair", IF(INDIRECT("'Worksheet 2'!$E"&amp;$B1)=1, "Do Not Use"))</f>
        <v>0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Alamo-1  WO#J5003033-00233 </v>
      </c>
      <c r="E15" s="22"/>
      <c r="F15" s="23"/>
      <c r="G15" s="22"/>
      <c r="H15" s="24"/>
      <c r="I15" s="25">
        <f>+'Worksheet 2'!$AR$1</f>
        <v>32981</v>
      </c>
      <c r="J15" s="26"/>
      <c r="L15" s="165" t="s">
        <v>113</v>
      </c>
      <c r="M15" s="21" t="str">
        <f>+'Worksheet 2'!$W$4</f>
        <v xml:space="preserve">Alamo-1  WO#J5003033-00233 </v>
      </c>
      <c r="N15" s="22"/>
      <c r="O15" s="23"/>
      <c r="P15" s="22"/>
      <c r="Q15" s="24"/>
      <c r="R15" s="25">
        <f>+'Worksheet 2'!$AR$1</f>
        <v>32981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8" cm="1">
        <f t="array" aca="1" ref="G17" ca="1">INDIRECT("'Worksheet 2'!$Y"&amp;$B15)</f>
        <v>0</v>
      </c>
      <c r="H17" s="448"/>
      <c r="I17" s="449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8"/>
      <c r="H18" s="448"/>
      <c r="I18" s="449"/>
      <c r="L18" s="167"/>
      <c r="M18" s="162" t="b">
        <f t="shared" ca="1" si="1"/>
        <v>0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46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46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6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47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7"/>
    </row>
    <row r="25" spans="1:18" ht="23.25">
      <c r="C25" s="349" cm="1">
        <f t="array" aca="1" ref="C25" ca="1">INDIRECT("'Worksheet 2'!$J"&amp;$B15)</f>
        <v>0</v>
      </c>
      <c r="D25" s="444" t="b" cm="1">
        <f t="array" aca="1" ref="D25" ca="1">IF(INDIRECT("'Worksheet 2'!$D"&amp;$B15)=1, "Left of Pair", IF(INDIRECT("'Worksheet 2'!$E"&amp;$B15)=1, "Panel"))</f>
        <v>0</v>
      </c>
      <c r="E25" s="444"/>
      <c r="F25" s="444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44" t="b" cm="1">
        <f t="array" aca="1" ref="M25" ca="1">IF(INDIRECT("'Worksheet 2'!$D"&amp;$B15)=1, "Right of Pair", IF(INDIRECT("'Worksheet 2'!$E"&amp;$B15)=1, "Do Not Use"))</f>
        <v>0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Alamo-1  WO#J5003033-00233 </v>
      </c>
      <c r="E29" s="22"/>
      <c r="F29" s="23"/>
      <c r="G29" s="22"/>
      <c r="H29" s="24"/>
      <c r="I29" s="25">
        <f>+'Worksheet 2'!$AR$1</f>
        <v>32981</v>
      </c>
      <c r="J29" s="26"/>
      <c r="L29" s="165" t="s">
        <v>113</v>
      </c>
      <c r="M29" s="21" t="str">
        <f>+'Worksheet 2'!$W$4</f>
        <v xml:space="preserve">Alamo-1  WO#J5003033-00233 </v>
      </c>
      <c r="N29" s="22"/>
      <c r="O29" s="23"/>
      <c r="P29" s="22"/>
      <c r="Q29" s="24"/>
      <c r="R29" s="25">
        <f>+'Worksheet 2'!$AR$1</f>
        <v>32981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8" cm="1">
        <f t="array" aca="1" ref="G31" ca="1">INDIRECT("'Worksheet 2'!$Y"&amp;$B29)</f>
        <v>0</v>
      </c>
      <c r="H31" s="448"/>
      <c r="I31" s="449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8"/>
      <c r="H32" s="448"/>
      <c r="I32" s="449"/>
      <c r="L32" s="167"/>
      <c r="M32" s="162" t="b">
        <f t="shared" ca="1" si="2"/>
        <v>0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46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46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6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47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7"/>
    </row>
    <row r="39" spans="1:18" ht="20.25" customHeight="1">
      <c r="C39" s="349" cm="1">
        <f t="array" aca="1" ref="C39" ca="1">INDIRECT("'Worksheet 2'!$J"&amp;$B29)</f>
        <v>0</v>
      </c>
      <c r="D39" s="444" t="b" cm="1">
        <f t="array" aca="1" ref="D39" ca="1">IF(INDIRECT("'Worksheet 2'!$D"&amp;$B29)=1, "Left of Pair", IF(INDIRECT("'Worksheet 2'!$E"&amp;$B29)=1, "Panel"))</f>
        <v>0</v>
      </c>
      <c r="E39" s="444"/>
      <c r="F39" s="444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44" t="b" cm="1">
        <f t="array" aca="1" ref="M39" ca="1">IF(INDIRECT("'Worksheet 2'!$D"&amp;$B29)=1, "Right of Pair", IF(INDIRECT("'Worksheet 2'!$E"&amp;$B29)=1, "Do Not Use"))</f>
        <v>0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+'Worksheet 2'!$W$4</f>
        <v xml:space="preserve">Alamo-1  WO#J5003033-00233 </v>
      </c>
      <c r="E43" s="22"/>
      <c r="F43" s="23"/>
      <c r="G43" s="22"/>
      <c r="H43" s="24"/>
      <c r="I43" s="25">
        <f>+'Worksheet 2'!$AR$1</f>
        <v>32981</v>
      </c>
      <c r="J43" s="26"/>
      <c r="L43" s="165" t="s">
        <v>113</v>
      </c>
      <c r="M43" s="21" t="str">
        <f>+'Worksheet 2'!$W$4</f>
        <v xml:space="preserve">Alamo-1  WO#J5003033-00233 </v>
      </c>
      <c r="N43" s="22"/>
      <c r="O43" s="23"/>
      <c r="P43" s="22"/>
      <c r="Q43" s="24"/>
      <c r="R43" s="25">
        <f>+'Worksheet 2'!$AR$1</f>
        <v>32981</v>
      </c>
    </row>
    <row r="44" spans="1:18" ht="32.25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8" cm="1">
        <f t="array" aca="1" ref="G45" ca="1">INDIRECT("'Worksheet 2'!$Y"&amp;$B43)</f>
        <v>0</v>
      </c>
      <c r="H45" s="448"/>
      <c r="I45" s="449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8"/>
      <c r="H46" s="448"/>
      <c r="I46" s="449"/>
      <c r="L46" s="167"/>
      <c r="M46" s="162" t="b">
        <f t="shared" ca="1" si="3"/>
        <v>0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46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46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6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47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7"/>
    </row>
    <row r="53" spans="1:18" ht="23.25">
      <c r="C53" s="349" cm="1">
        <f t="array" aca="1" ref="C53" ca="1">INDIRECT("'Worksheet 2'!$J"&amp;$B43)</f>
        <v>0</v>
      </c>
      <c r="D53" s="444" t="b" cm="1">
        <f t="array" aca="1" ref="D53" ca="1">IF(INDIRECT("'Worksheet 2'!$D"&amp;$B43)=1, "Left of Pair", IF(INDIRECT("'Worksheet 2'!$E"&amp;$B43)=1, "Panel"))</f>
        <v>0</v>
      </c>
      <c r="E53" s="444"/>
      <c r="F53" s="444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44" t="b" cm="1">
        <f t="array" aca="1" ref="M53" ca="1">IF(INDIRECT("'Worksheet 2'!$D"&amp;$B43)=1, "Right of Pair", IF(INDIRECT("'Worksheet 2'!$E"&amp;$B43)=1, "Do Not Use"))</f>
        <v>0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+'Worksheet 2'!$W$4</f>
        <v xml:space="preserve">Alamo-1  WO#J5003033-00233 </v>
      </c>
      <c r="E55" s="22"/>
      <c r="F55" s="23"/>
      <c r="G55" s="22"/>
      <c r="H55" s="24"/>
      <c r="I55" s="25">
        <f>+'Worksheet 2'!$AR$1</f>
        <v>32981</v>
      </c>
      <c r="J55" s="26"/>
      <c r="L55" s="165" t="s">
        <v>113</v>
      </c>
      <c r="M55" s="21" t="str">
        <f>+'Worksheet 2'!$W$4</f>
        <v xml:space="preserve">Alamo-1  WO#J5003033-00233 </v>
      </c>
      <c r="N55" s="22"/>
      <c r="O55" s="23"/>
      <c r="P55" s="22"/>
      <c r="Q55" s="24"/>
      <c r="R55" s="25">
        <f>+'Worksheet 2'!$AR$1</f>
        <v>32981</v>
      </c>
    </row>
    <row r="56" spans="1:18" ht="32.25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8" cm="1">
        <f t="array" aca="1" ref="G57" ca="1">INDIRECT("'Worksheet 2'!$Y"&amp;$B55)</f>
        <v>0</v>
      </c>
      <c r="H57" s="448"/>
      <c r="I57" s="449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8"/>
      <c r="H58" s="448"/>
      <c r="I58" s="449"/>
      <c r="L58" s="167"/>
      <c r="M58" s="162" t="b">
        <f t="shared" ca="1" si="4"/>
        <v>0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46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46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6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47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7"/>
    </row>
    <row r="65" spans="1:18" ht="23.25">
      <c r="C65" s="349" cm="1">
        <f t="array" aca="1" ref="C65" ca="1">INDIRECT("'Worksheet 2'!$J"&amp;$B55)</f>
        <v>0</v>
      </c>
      <c r="D65" s="444" t="b" cm="1">
        <f t="array" aca="1" ref="D65" ca="1">IF(INDIRECT("'Worksheet 2'!$D"&amp;$B55)=1, "Left of Pair", IF(INDIRECT("'Worksheet 2'!$E"&amp;$B55)=1, "Panel"))</f>
        <v>0</v>
      </c>
      <c r="E65" s="444"/>
      <c r="F65" s="444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44" t="b" cm="1">
        <f t="array" aca="1" ref="M65" ca="1">IF(INDIRECT("'Worksheet 2'!$D"&amp;$B55)=1, "Right of Pair", IF(INDIRECT("'Worksheet 2'!$E"&amp;$B55)=1, "Do Not Use"))</f>
        <v>0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+'Worksheet 2'!$W$4</f>
        <v xml:space="preserve">Alamo-1  WO#J5003033-00233 </v>
      </c>
      <c r="E69" s="22"/>
      <c r="F69" s="23"/>
      <c r="G69" s="22"/>
      <c r="H69" s="24"/>
      <c r="I69" s="25">
        <f>+'Worksheet 2'!$AR$1</f>
        <v>32981</v>
      </c>
      <c r="J69" s="26"/>
      <c r="L69" s="165" t="s">
        <v>113</v>
      </c>
      <c r="M69" s="21" t="str">
        <f>+'Worksheet 2'!$W$4</f>
        <v xml:space="preserve">Alamo-1  WO#J5003033-00233 </v>
      </c>
      <c r="N69" s="22"/>
      <c r="O69" s="23"/>
      <c r="P69" s="22"/>
      <c r="Q69" s="24"/>
      <c r="R69" s="25">
        <f>+'Worksheet 2'!$AR$1</f>
        <v>32981</v>
      </c>
    </row>
    <row r="70" spans="1:18" ht="32.25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8" cm="1">
        <f t="array" aca="1" ref="G71" ca="1">INDIRECT("'Worksheet 2'!$Y"&amp;$B69)</f>
        <v>0</v>
      </c>
      <c r="H71" s="448"/>
      <c r="I71" s="449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8"/>
      <c r="H72" s="448"/>
      <c r="I72" s="449"/>
      <c r="L72" s="167"/>
      <c r="M72" s="162" t="b">
        <f t="shared" ca="1" si="5"/>
        <v>0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46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46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6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47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7"/>
    </row>
    <row r="79" spans="1:18" ht="23.25">
      <c r="C79" s="349" cm="1">
        <f t="array" aca="1" ref="C79" ca="1">INDIRECT("'Worksheet 2'!$J"&amp;$B69)</f>
        <v>0</v>
      </c>
      <c r="D79" s="444" t="b" cm="1">
        <f t="array" aca="1" ref="D79" ca="1">IF(INDIRECT("'Worksheet 2'!$D"&amp;$B69)=1, "Left of Pair", IF(INDIRECT("'Worksheet 2'!$E"&amp;$B69)=1, "Panel"))</f>
        <v>0</v>
      </c>
      <c r="E79" s="444"/>
      <c r="F79" s="444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44" t="b" cm="1">
        <f t="array" aca="1" ref="M79" ca="1">IF(INDIRECT("'Worksheet 2'!$D"&amp;$B69)=1, "Right of Pair", IF(INDIRECT("'Worksheet 2'!$E"&amp;$B69)=1, "Do Not Use"))</f>
        <v>0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+'Worksheet 2'!$W$4</f>
        <v xml:space="preserve">Alamo-1  WO#J5003033-00233 </v>
      </c>
      <c r="E83" s="22"/>
      <c r="F83" s="23"/>
      <c r="G83" s="22"/>
      <c r="H83" s="24"/>
      <c r="I83" s="25">
        <f>+'Worksheet 2'!$AR$1</f>
        <v>32981</v>
      </c>
      <c r="J83" s="26"/>
      <c r="L83" s="165" t="s">
        <v>113</v>
      </c>
      <c r="M83" s="21" t="str">
        <f>+'Worksheet 2'!$W$4</f>
        <v xml:space="preserve">Alamo-1  WO#J5003033-00233 </v>
      </c>
      <c r="N83" s="22"/>
      <c r="O83" s="23"/>
      <c r="P83" s="22"/>
      <c r="Q83" s="24"/>
      <c r="R83" s="25">
        <f>+'Worksheet 2'!$AR$1</f>
        <v>32981</v>
      </c>
    </row>
    <row r="84" spans="1:18" ht="32.25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8" cm="1">
        <f t="array" aca="1" ref="G85" ca="1">INDIRECT("'Worksheet 2'!$Y"&amp;$B83)</f>
        <v>0</v>
      </c>
      <c r="H85" s="448"/>
      <c r="I85" s="449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8"/>
      <c r="H86" s="448"/>
      <c r="I86" s="449"/>
      <c r="L86" s="167"/>
      <c r="M86" s="162" t="b">
        <f t="shared" ca="1" si="6"/>
        <v>0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46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46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6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47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7"/>
    </row>
    <row r="93" spans="1:18" ht="23.25">
      <c r="C93" s="349" cm="1">
        <f t="array" aca="1" ref="C93" ca="1">INDIRECT("'Worksheet 2'!$J"&amp;$B83)</f>
        <v>0</v>
      </c>
      <c r="D93" s="444" t="b" cm="1">
        <f t="array" aca="1" ref="D93" ca="1">IF(INDIRECT("'Worksheet 2'!$D"&amp;$B83)=1, "Left of Pair", IF(INDIRECT("'Worksheet 2'!$E"&amp;$B83)=1, "Panel"))</f>
        <v>0</v>
      </c>
      <c r="E93" s="444"/>
      <c r="F93" s="444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44" t="b" cm="1">
        <f t="array" aca="1" ref="M93" ca="1">IF(INDIRECT("'Worksheet 2'!$D"&amp;$B83)=1, "Right of Pair", IF(INDIRECT("'Worksheet 2'!$E"&amp;$B83)=1, "Do Not Use"))</f>
        <v>0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+'Worksheet 2'!$W$4</f>
        <v xml:space="preserve">Alamo-1  WO#J5003033-00233 </v>
      </c>
      <c r="E97" s="22"/>
      <c r="F97" s="23"/>
      <c r="G97" s="22"/>
      <c r="H97" s="24"/>
      <c r="I97" s="25">
        <f>+'Worksheet 2'!$AR$1</f>
        <v>32981</v>
      </c>
      <c r="J97" s="26"/>
      <c r="L97" s="165" t="s">
        <v>113</v>
      </c>
      <c r="M97" s="21" t="str">
        <f>+'Worksheet 2'!$W$4</f>
        <v xml:space="preserve">Alamo-1  WO#J5003033-00233 </v>
      </c>
      <c r="N97" s="22"/>
      <c r="O97" s="23"/>
      <c r="P97" s="22"/>
      <c r="Q97" s="24"/>
      <c r="R97" s="25">
        <f>+'Worksheet 2'!$AR$1</f>
        <v>32981</v>
      </c>
    </row>
    <row r="98" spans="1:18" ht="32.25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8" cm="1">
        <f t="array" aca="1" ref="G99" ca="1">INDIRECT("'Worksheet 2'!$Y"&amp;$B97)</f>
        <v>0</v>
      </c>
      <c r="H99" s="448"/>
      <c r="I99" s="449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8"/>
      <c r="H100" s="448"/>
      <c r="I100" s="449"/>
      <c r="L100" s="167"/>
      <c r="M100" s="162" t="b">
        <f t="shared" ca="1" si="7"/>
        <v>0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46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6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47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7"/>
    </row>
    <row r="107" spans="1:18" ht="23.25">
      <c r="C107" s="349" cm="1">
        <f t="array" aca="1" ref="C107" ca="1">INDIRECT("'Worksheet 2'!$J"&amp;$B97)</f>
        <v>0</v>
      </c>
      <c r="D107" s="444" t="b" cm="1">
        <f t="array" aca="1" ref="D107" ca="1">IF(INDIRECT("'Worksheet 2'!$D"&amp;$B97)=1, "Left of Pair", IF(INDIRECT("'Worksheet 2'!$E"&amp;$B97)=1, "Panel"))</f>
        <v>0</v>
      </c>
      <c r="E107" s="444"/>
      <c r="F107" s="444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44" t="b" cm="1">
        <f t="array" aca="1" ref="M107" ca="1">IF(INDIRECT("'Worksheet 2'!$D"&amp;$B97)=1, "Right of Pair", IF(INDIRECT("'Worksheet 2'!$E"&amp;$B97)=1, "Do Not Use"))</f>
        <v>0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+'Worksheet 2'!$W$4</f>
        <v xml:space="preserve">Alamo-1  WO#J5003033-00233 </v>
      </c>
      <c r="E109" s="22"/>
      <c r="F109" s="23"/>
      <c r="G109" s="22"/>
      <c r="H109" s="24"/>
      <c r="I109" s="25">
        <f>+'Worksheet 2'!$AR$1</f>
        <v>32981</v>
      </c>
      <c r="J109" s="26"/>
      <c r="L109" s="165" t="s">
        <v>113</v>
      </c>
      <c r="M109" s="21" t="str">
        <f>+'Worksheet 2'!$W$4</f>
        <v xml:space="preserve">Alamo-1  WO#J5003033-00233 </v>
      </c>
      <c r="N109" s="22"/>
      <c r="O109" s="23"/>
      <c r="P109" s="22"/>
      <c r="Q109" s="24"/>
      <c r="R109" s="25">
        <f>+'Worksheet 2'!$AR$1</f>
        <v>32981</v>
      </c>
    </row>
    <row r="110" spans="1:18" ht="32.25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 2'!$Y"&amp;$B109)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7"/>
    </row>
    <row r="119" spans="1:18" ht="23.25">
      <c r="C119" s="349" cm="1">
        <f t="array" aca="1" ref="C119" ca="1">INDIRECT("'Worksheet 2'!$J"&amp;$B109)</f>
        <v>0</v>
      </c>
      <c r="D119" s="444" t="b" cm="1">
        <f t="array" aca="1" ref="D119" ca="1">IF(INDIRECT("'Worksheet 2'!$D"&amp;$B109)=1, "Left of Pair", IF(INDIRECT("'Worksheet 2'!$E"&amp;$B109)=1, "Panel"))</f>
        <v>0</v>
      </c>
      <c r="E119" s="444"/>
      <c r="F119" s="444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 2'!$D"&amp;$B109)=1, "Right of Pair", IF(INDIRECT("'Worksheet 2'!$E"&amp;$B109)=1,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+'Worksheet 2'!$W$4</f>
        <v xml:space="preserve">Alamo-1  WO#J5003033-00233 </v>
      </c>
      <c r="E123" s="22"/>
      <c r="F123" s="23"/>
      <c r="G123" s="22"/>
      <c r="H123" s="24"/>
      <c r="I123" s="25">
        <f>+'Worksheet 2'!$AR$1</f>
        <v>32981</v>
      </c>
      <c r="J123" s="26"/>
      <c r="L123" s="165" t="s">
        <v>113</v>
      </c>
      <c r="M123" s="21" t="str">
        <f>+'Worksheet 2'!$W$4</f>
        <v xml:space="preserve">Alamo-1  WO#J5003033-00233 </v>
      </c>
      <c r="N123" s="22"/>
      <c r="O123" s="23"/>
      <c r="P123" s="22"/>
      <c r="Q123" s="24"/>
      <c r="R123" s="25">
        <f>+'Worksheet 2'!$AR$1</f>
        <v>32981</v>
      </c>
    </row>
    <row r="124" spans="1:18" ht="32.25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 2'!$Y"&amp;$B123)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7"/>
    </row>
    <row r="133" spans="1:18" ht="23.25">
      <c r="C133" s="349" cm="1">
        <f t="array" aca="1" ref="C133" ca="1">INDIRECT("'Worksheet 2'!$J"&amp;$B123)</f>
        <v>0</v>
      </c>
      <c r="D133" s="444" t="b" cm="1">
        <f t="array" aca="1" ref="D133" ca="1">IF(INDIRECT("'Worksheet 2'!$D"&amp;$B123)=1, "Left of Pair", IF(INDIRECT("'Worksheet 2'!$E"&amp;$B123)=1, "Panel"))</f>
        <v>0</v>
      </c>
      <c r="E133" s="444"/>
      <c r="F133" s="444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 2'!$D"&amp;$B123)=1, "Right of Pair", IF(INDIRECT("'Worksheet 2'!$E"&amp;$B123)=1,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+'Worksheet 2'!$W$4</f>
        <v xml:space="preserve">Alamo-1  WO#J5003033-00233 </v>
      </c>
      <c r="E137" s="22"/>
      <c r="F137" s="23"/>
      <c r="G137" s="22"/>
      <c r="H137" s="24"/>
      <c r="I137" s="25">
        <f>+'Worksheet 2'!$AR$1</f>
        <v>32981</v>
      </c>
      <c r="J137" s="26"/>
      <c r="L137" s="165" t="s">
        <v>113</v>
      </c>
      <c r="M137" s="21" t="str">
        <f>+'Worksheet 2'!$W$4</f>
        <v xml:space="preserve">Alamo-1  WO#J5003033-00233 </v>
      </c>
      <c r="N137" s="22"/>
      <c r="O137" s="23"/>
      <c r="P137" s="22"/>
      <c r="Q137" s="24"/>
      <c r="R137" s="25">
        <f>+'Worksheet 2'!$AR$1</f>
        <v>32981</v>
      </c>
    </row>
    <row r="138" spans="1:18" ht="32.25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7"/>
    </row>
    <row r="147" spans="1:18" ht="23.25">
      <c r="C147" s="349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+'Worksheet 2'!$W$4</f>
        <v xml:space="preserve">Alamo-1  WO#J5003033-00233 </v>
      </c>
      <c r="E151" s="22"/>
      <c r="F151" s="23"/>
      <c r="G151" s="22"/>
      <c r="H151" s="24"/>
      <c r="I151" s="25">
        <f>+'Worksheet 2'!$AR$1</f>
        <v>32981</v>
      </c>
      <c r="J151" s="26"/>
      <c r="L151" s="165" t="s">
        <v>113</v>
      </c>
      <c r="M151" s="21" t="str">
        <f>+'Worksheet 2'!$W$4</f>
        <v xml:space="preserve">Alamo-1  WO#J5003033-00233 </v>
      </c>
      <c r="N151" s="22"/>
      <c r="O151" s="23"/>
      <c r="P151" s="22"/>
      <c r="Q151" s="24"/>
      <c r="R151" s="25">
        <f>+'Worksheet 2'!$AR$1</f>
        <v>32981</v>
      </c>
    </row>
    <row r="152" spans="1:18" ht="32.25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7"/>
    </row>
    <row r="161" spans="1:18" ht="23.25">
      <c r="C161" s="349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+'Worksheet 2'!$W$4</f>
        <v xml:space="preserve">Alamo-1  WO#J5003033-00233 </v>
      </c>
      <c r="E163" s="22"/>
      <c r="F163" s="23"/>
      <c r="G163" s="22"/>
      <c r="H163" s="24"/>
      <c r="I163" s="25">
        <f>+'Worksheet 2'!$AR$1</f>
        <v>32981</v>
      </c>
      <c r="J163" s="26"/>
      <c r="L163" s="165" t="s">
        <v>113</v>
      </c>
      <c r="M163" s="21" t="str">
        <f>+'Worksheet 2'!$W$4</f>
        <v xml:space="preserve">Alamo-1  WO#J5003033-00233 </v>
      </c>
      <c r="N163" s="22"/>
      <c r="O163" s="23"/>
      <c r="P163" s="22"/>
      <c r="Q163" s="24"/>
      <c r="R163" s="25">
        <f>+'Worksheet 2'!$AR$1</f>
        <v>32981</v>
      </c>
    </row>
    <row r="164" spans="1:18" ht="32.25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7"/>
    </row>
    <row r="173" spans="1:18" ht="23.25">
      <c r="C173" s="349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+'Worksheet 2'!$W$4</f>
        <v xml:space="preserve">Alamo-1  WO#J5003033-00233 </v>
      </c>
      <c r="E177" s="22"/>
      <c r="F177" s="23"/>
      <c r="G177" s="22"/>
      <c r="H177" s="24"/>
      <c r="I177" s="25">
        <f>+'Worksheet 2'!$AR$1</f>
        <v>32981</v>
      </c>
      <c r="J177" s="26"/>
      <c r="L177" s="165" t="s">
        <v>113</v>
      </c>
      <c r="M177" s="21" t="str">
        <f>+'Worksheet 2'!$W$4</f>
        <v xml:space="preserve">Alamo-1  WO#J5003033-00233 </v>
      </c>
      <c r="N177" s="22"/>
      <c r="O177" s="23"/>
      <c r="P177" s="22"/>
      <c r="Q177" s="24"/>
      <c r="R177" s="25">
        <f>+'Worksheet 2'!$AR$1</f>
        <v>32981</v>
      </c>
    </row>
    <row r="178" spans="1:18" ht="32.25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7"/>
    </row>
    <row r="187" spans="1:18" ht="23.25">
      <c r="C187" s="349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+'Worksheet 2'!$W$4</f>
        <v xml:space="preserve">Alamo-1  WO#J5003033-00233 </v>
      </c>
      <c r="E191" s="22"/>
      <c r="F191" s="23"/>
      <c r="G191" s="22"/>
      <c r="H191" s="24"/>
      <c r="I191" s="25">
        <f>+'Worksheet 2'!$AR$1</f>
        <v>32981</v>
      </c>
      <c r="J191" s="26"/>
      <c r="L191" s="165" t="s">
        <v>113</v>
      </c>
      <c r="M191" s="21" t="str">
        <f>+'Worksheet 2'!$W$4</f>
        <v xml:space="preserve">Alamo-1  WO#J5003033-00233 </v>
      </c>
      <c r="N191" s="22"/>
      <c r="O191" s="23"/>
      <c r="P191" s="22"/>
      <c r="Q191" s="24"/>
      <c r="R191" s="25">
        <f>+'Worksheet 2'!$AR$1</f>
        <v>32981</v>
      </c>
    </row>
    <row r="192" spans="1:18" ht="32.25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7"/>
    </row>
    <row r="201" spans="1:18" ht="23.25">
      <c r="C201" s="349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+'Worksheet 2'!$W$4</f>
        <v xml:space="preserve">Alamo-1  WO#J5003033-00233 </v>
      </c>
      <c r="E205" s="22"/>
      <c r="F205" s="23"/>
      <c r="G205" s="22"/>
      <c r="H205" s="24"/>
      <c r="I205" s="25">
        <f>+'Worksheet 2'!$AR$1</f>
        <v>32981</v>
      </c>
      <c r="J205" s="26"/>
      <c r="L205" s="165" t="s">
        <v>113</v>
      </c>
      <c r="M205" s="21" t="str">
        <f>+'Worksheet 2'!$W$4</f>
        <v xml:space="preserve">Alamo-1  WO#J5003033-00233 </v>
      </c>
      <c r="N205" s="22"/>
      <c r="O205" s="23"/>
      <c r="P205" s="22"/>
      <c r="Q205" s="24"/>
      <c r="R205" s="25">
        <f>+'Worksheet 2'!$AR$1</f>
        <v>32981</v>
      </c>
    </row>
    <row r="206" spans="1:18" ht="32.25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7"/>
    </row>
    <row r="215" spans="1:18" ht="23.25">
      <c r="C215" s="349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+'Worksheet 2'!$W$4</f>
        <v xml:space="preserve">Alamo-1  WO#J5003033-00233 </v>
      </c>
      <c r="E217" s="22"/>
      <c r="F217" s="23"/>
      <c r="G217" s="22"/>
      <c r="H217" s="24"/>
      <c r="I217" s="25">
        <f>+'Worksheet 2'!$AR$1</f>
        <v>32981</v>
      </c>
      <c r="J217" s="26"/>
      <c r="L217" s="165" t="s">
        <v>113</v>
      </c>
      <c r="M217" s="21" t="str">
        <f>+'Worksheet 2'!$W$4</f>
        <v xml:space="preserve">Alamo-1  WO#J5003033-00233 </v>
      </c>
      <c r="N217" s="22"/>
      <c r="O217" s="23"/>
      <c r="P217" s="22"/>
      <c r="Q217" s="24"/>
      <c r="R217" s="25">
        <f>+'Worksheet 2'!$AR$1</f>
        <v>32981</v>
      </c>
    </row>
    <row r="218" spans="1:18" ht="32.25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7"/>
    </row>
    <row r="227" spans="1:18" ht="23.25">
      <c r="C227" s="349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+'Worksheet 2'!$W$4</f>
        <v xml:space="preserve">Alamo-1  WO#J5003033-00233 </v>
      </c>
      <c r="E231" s="22"/>
      <c r="F231" s="23"/>
      <c r="G231" s="22"/>
      <c r="H231" s="24"/>
      <c r="I231" s="25">
        <f>+'Worksheet 2'!$AR$1</f>
        <v>32981</v>
      </c>
      <c r="J231" s="26"/>
      <c r="L231" s="165" t="s">
        <v>113</v>
      </c>
      <c r="M231" s="21" t="str">
        <f>+'Worksheet 2'!$W$4</f>
        <v xml:space="preserve">Alamo-1  WO#J5003033-00233 </v>
      </c>
      <c r="N231" s="22"/>
      <c r="O231" s="23"/>
      <c r="P231" s="22"/>
      <c r="Q231" s="24"/>
      <c r="R231" s="25">
        <f>+'Worksheet 2'!$AR$1</f>
        <v>32981</v>
      </c>
    </row>
    <row r="232" spans="1:18" ht="32.25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7"/>
    </row>
    <row r="241" spans="1:18" ht="23.25">
      <c r="C241" s="349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+'Worksheet 2'!$W$4</f>
        <v xml:space="preserve">Alamo-1  WO#J5003033-00233 </v>
      </c>
      <c r="E245" s="22"/>
      <c r="F245" s="23"/>
      <c r="G245" s="22"/>
      <c r="H245" s="24"/>
      <c r="I245" s="25">
        <f>+'Worksheet 2'!$AR$1</f>
        <v>32981</v>
      </c>
      <c r="J245" s="26"/>
      <c r="L245" s="165" t="s">
        <v>113</v>
      </c>
      <c r="M245" s="21" t="str">
        <f>+'Worksheet 2'!$W$4</f>
        <v xml:space="preserve">Alamo-1  WO#J5003033-00233 </v>
      </c>
      <c r="N245" s="22"/>
      <c r="O245" s="23"/>
      <c r="P245" s="22"/>
      <c r="Q245" s="24"/>
      <c r="R245" s="25">
        <f>+'Worksheet 2'!$AR$1</f>
        <v>32981</v>
      </c>
    </row>
    <row r="246" spans="1:18" ht="32.25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7"/>
    </row>
    <row r="255" spans="1:18" ht="23.25">
      <c r="C255" s="349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+'Worksheet 2'!$W$4</f>
        <v xml:space="preserve">Alamo-1  WO#J5003033-00233 </v>
      </c>
      <c r="E259" s="22"/>
      <c r="F259" s="23"/>
      <c r="G259" s="22"/>
      <c r="H259" s="24"/>
      <c r="I259" s="25">
        <f>+'Worksheet 2'!$AR$1</f>
        <v>32981</v>
      </c>
      <c r="J259" s="26"/>
      <c r="L259" s="165" t="s">
        <v>113</v>
      </c>
      <c r="M259" s="21" t="str">
        <f>+'Worksheet 2'!$W$4</f>
        <v xml:space="preserve">Alamo-1  WO#J5003033-00233 </v>
      </c>
      <c r="N259" s="22"/>
      <c r="O259" s="23"/>
      <c r="P259" s="22"/>
      <c r="Q259" s="24"/>
      <c r="R259" s="25">
        <f>+'Worksheet 2'!$AR$1</f>
        <v>32981</v>
      </c>
    </row>
    <row r="260" spans="1:18" ht="32.25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7"/>
    </row>
    <row r="269" spans="1:18" ht="23.25">
      <c r="C269" s="349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2024-08-02T13:58:50Z</cp:lastPrinted>
  <dcterms:created xsi:type="dcterms:W3CDTF">1997-04-14T18:07:46Z</dcterms:created>
  <dcterms:modified xsi:type="dcterms:W3CDTF">2025-05-20T20:33:03Z</dcterms:modified>
</cp:coreProperties>
</file>