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JLL\Oregon\Oregon - Travis\"/>
    </mc:Choice>
  </mc:AlternateContent>
  <xr:revisionPtr revIDLastSave="0" documentId="13_ncr:1_{AA5BA3F4-57B1-4CCA-B7D2-434EE450DD1E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Quote!$A$1:$J$60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(1)'!$C$1:$R$95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G111" i="30" a="1"/>
  <c r="D25" i="30" a="1"/>
  <c r="H200" i="30" a="1"/>
  <c r="C147" i="30" a="1"/>
  <c r="H268" i="30" a="1"/>
  <c r="D192" i="30" a="1"/>
  <c r="D183" i="30" a="1"/>
  <c r="C201" i="30" a="1"/>
  <c r="H145" i="30" a="1"/>
  <c r="H269" i="30" a="1"/>
  <c r="C53" i="30" a="1"/>
  <c r="G153" i="30" a="1"/>
  <c r="D178" i="30" a="1"/>
  <c r="D173" i="30" a="1"/>
  <c r="H132" i="30" a="1"/>
  <c r="F16" i="30" a="1"/>
  <c r="H107" i="30" a="1"/>
  <c r="H160" i="30" a="1"/>
  <c r="D227" i="30" a="1"/>
  <c r="F110" i="30" a="1"/>
  <c r="F2" i="30" a="1"/>
  <c r="D246" i="30" a="1"/>
  <c r="G125" i="30" a="1"/>
  <c r="I127" i="30" a="1"/>
  <c r="D118" i="30" a="1"/>
  <c r="H93" i="30" a="1"/>
  <c r="D70" i="30" a="1"/>
  <c r="D2" i="30" a="1"/>
  <c r="D22" i="30" a="1"/>
  <c r="F206" i="30" a="1"/>
  <c r="I197" i="30" a="1"/>
  <c r="D35" i="30" a="1"/>
  <c r="G139" i="30" a="1"/>
  <c r="H172" i="30" a="1"/>
  <c r="H185" i="30" a="1"/>
  <c r="F84" i="30" a="1"/>
  <c r="H110" i="30" a="1"/>
  <c r="H226" i="30" a="1"/>
  <c r="D198" i="30" a="1"/>
  <c r="G85" i="30" a="1"/>
  <c r="H98" i="30" a="1"/>
  <c r="E131" i="30" a="1"/>
  <c r="G3" i="30" a="1"/>
  <c r="C79" i="30" a="1"/>
  <c r="D146" i="30" a="1"/>
  <c r="G179" i="30" a="1"/>
  <c r="D200" i="30" a="1"/>
  <c r="D160" i="30" a="1"/>
  <c r="C11" i="30" a="1"/>
  <c r="H186" i="30" a="1"/>
  <c r="D201" i="30" a="1"/>
  <c r="D53" i="30" a="1"/>
  <c r="I155" i="30" a="1"/>
  <c r="F192" i="30" a="1"/>
  <c r="E63" i="30" a="1"/>
  <c r="D16" i="30" a="1"/>
  <c r="H192" i="30" a="1"/>
  <c r="H241" i="30" a="1"/>
  <c r="D56" i="30" a="1"/>
  <c r="D251" i="30" a="1"/>
  <c r="H254" i="30" a="1"/>
  <c r="D75" i="30" a="1"/>
  <c r="I157" i="30" a="1"/>
  <c r="E199" i="30" a="1"/>
  <c r="M53" i="30" a="1"/>
  <c r="E77" i="30" a="1"/>
  <c r="H147" i="30" a="1"/>
  <c r="I7" i="30" a="1"/>
  <c r="D161" i="30" a="1"/>
  <c r="H267" i="30" a="1"/>
  <c r="G45" i="30" a="1"/>
  <c r="I49" i="30" a="1"/>
  <c r="I169" i="30" a="1"/>
  <c r="D104" i="30" a="1"/>
  <c r="D36" i="30" a="1"/>
  <c r="M227" i="30" a="1"/>
  <c r="D93" i="30" a="1"/>
  <c r="I101" i="30" a="1"/>
  <c r="E145" i="30" a="1"/>
  <c r="I221" i="30" a="1"/>
  <c r="H37" i="30" a="1"/>
  <c r="H25" i="30" a="1"/>
  <c r="G71" i="30" a="1"/>
  <c r="D115" i="30" a="1"/>
  <c r="M255" i="30" a="1"/>
  <c r="D224" i="30" a="1"/>
  <c r="C25" i="30" a="1"/>
  <c r="D50" i="30" a="1"/>
  <c r="I33" i="30" a="1"/>
  <c r="H218" i="30" a="1"/>
  <c r="H214" i="30" a="1"/>
  <c r="M79" i="30" a="1"/>
  <c r="I103" i="30" a="1"/>
  <c r="F138" i="30" a="1"/>
  <c r="I59" i="30" a="1"/>
  <c r="G207" i="30" a="1"/>
  <c r="M147" i="30" a="1"/>
  <c r="H30" i="30" a="1"/>
  <c r="G165" i="30" a="1"/>
  <c r="D254" i="30" a="1"/>
  <c r="D49" i="30" a="1"/>
  <c r="H173" i="30" a="1"/>
  <c r="H65" i="30" a="1"/>
  <c r="G247" i="30" a="1"/>
  <c r="D7" i="30" a="1"/>
  <c r="D212" i="30" a="1"/>
  <c r="I181" i="30" a="1"/>
  <c r="D206" i="30" a="1"/>
  <c r="E23" i="30" a="1"/>
  <c r="M65" i="30" a="1"/>
  <c r="D152" i="30" a="1"/>
  <c r="D21" i="30" a="1"/>
  <c r="D169" i="30" a="1"/>
  <c r="E91" i="30" a="1"/>
  <c r="F124" i="30" a="1"/>
  <c r="G31" i="30" a="1"/>
  <c r="C133" i="30" a="1"/>
  <c r="F218" i="30" a="1"/>
  <c r="E225" i="30" a="1"/>
  <c r="D215" i="30" a="1"/>
  <c r="D107" i="30" a="1"/>
  <c r="H38" i="30" a="1"/>
  <c r="F30" i="30" a="1"/>
  <c r="H215" i="30" a="1"/>
  <c r="I211" i="30" a="1"/>
  <c r="H161" i="30" a="1"/>
  <c r="H171" i="30" a="1"/>
  <c r="H53" i="30" a="1"/>
  <c r="D8" i="30" a="1"/>
  <c r="E213" i="30" a="1"/>
  <c r="D255" i="30" a="1"/>
  <c r="M107" i="30" a="1"/>
  <c r="M119" i="30" a="1"/>
  <c r="E9" i="30" a="1"/>
  <c r="C215" i="30" a="1"/>
  <c r="H56" i="30" a="1"/>
  <c r="I143" i="30" a="1"/>
  <c r="H11" i="30" a="1"/>
  <c r="C119" i="30" a="1"/>
  <c r="C107" i="30" a="1"/>
  <c r="D170" i="30" a="1"/>
  <c r="E105" i="30" a="1"/>
  <c r="D223" i="30" a="1"/>
  <c r="H84" i="30" a="1"/>
  <c r="I19" i="30" a="1"/>
  <c r="H253" i="30" a="1"/>
  <c r="M93" i="30" a="1"/>
  <c r="I167" i="30" a="1"/>
  <c r="I89" i="30" a="1"/>
  <c r="H9" i="30" a="1"/>
  <c r="D232" i="30" a="1"/>
  <c r="D238" i="30" a="1"/>
  <c r="H255" i="30" a="1"/>
  <c r="H105" i="30" a="1"/>
  <c r="C227" i="30" a="1"/>
  <c r="G219" i="30" a="1"/>
  <c r="D252" i="30" a="1"/>
  <c r="D119" i="30" a="1"/>
  <c r="C269" i="30" a="1"/>
  <c r="H117" i="30" a="1"/>
  <c r="D129" i="30" a="1"/>
  <c r="H51" i="30" a="1"/>
  <c r="I61" i="30" a="1"/>
  <c r="I183" i="30" a="1"/>
  <c r="H199" i="30" a="1"/>
  <c r="G261" i="30" a="1"/>
  <c r="D241" i="30" a="1"/>
  <c r="M201" i="30" a="1"/>
  <c r="G57" i="30" a="1"/>
  <c r="H239" i="30" a="1"/>
  <c r="D65" i="30" a="1"/>
  <c r="H124" i="30" a="1"/>
  <c r="I75" i="30" a="1"/>
  <c r="D265" i="30" a="1"/>
  <c r="H63" i="30" a="1"/>
  <c r="H118" i="30" a="1"/>
  <c r="D116" i="30" a="1"/>
  <c r="D11" i="30" a="1"/>
  <c r="D110" i="30" a="1"/>
  <c r="D197" i="30" a="1"/>
  <c r="I87" i="30" a="1"/>
  <c r="D133" i="30" a="1"/>
  <c r="H206" i="30" a="1"/>
  <c r="D84" i="30" a="1"/>
  <c r="G99" i="30" a="1"/>
  <c r="C241" i="30" a="1"/>
  <c r="F70" i="30" a="1"/>
  <c r="D226" i="30" a="1"/>
  <c r="H64" i="30" a="1"/>
  <c r="F246" i="30" a="1"/>
  <c r="H225" i="30" a="1"/>
  <c r="M173" i="30" a="1"/>
  <c r="F232" i="30" a="1"/>
  <c r="H240" i="30" a="1"/>
  <c r="D44" i="30" a="1"/>
  <c r="D260" i="30" a="1"/>
  <c r="H39" i="30" a="1"/>
  <c r="D78" i="30" a="1"/>
  <c r="H78" i="30" a="1"/>
  <c r="H232" i="30" a="1"/>
  <c r="E51" i="30" a="1"/>
  <c r="I115" i="30" a="1"/>
  <c r="D10" i="30" a="1"/>
  <c r="M25" i="30" a="1"/>
  <c r="F56" i="30" a="1"/>
  <c r="D143" i="30" a="1"/>
  <c r="E239" i="30" a="1"/>
  <c r="D30" i="30" a="1"/>
  <c r="D103" i="30" a="1"/>
  <c r="H178" i="30" a="1"/>
  <c r="D157" i="30" a="1"/>
  <c r="I235" i="30" a="1"/>
  <c r="I265" i="30" a="1"/>
  <c r="D98" i="30" a="1"/>
  <c r="C93" i="30" a="1"/>
  <c r="E117" i="30" a="1"/>
  <c r="D90" i="30" a="1"/>
  <c r="G233" i="30" a="1"/>
  <c r="D52" i="30" a="1"/>
  <c r="M161" i="30" a="1"/>
  <c r="C173" i="30" a="1"/>
  <c r="I209" i="30" a="1"/>
  <c r="D172" i="30" a="1"/>
  <c r="C65" i="30" a="1"/>
  <c r="H246" i="30" a="1"/>
  <c r="D266" i="30" a="1"/>
  <c r="E185" i="30" a="1"/>
  <c r="H70" i="30" a="1"/>
  <c r="D89" i="30" a="1"/>
  <c r="E159" i="30" a="1"/>
  <c r="H52" i="30" a="1"/>
  <c r="I73" i="30" a="1"/>
  <c r="F44" i="30" a="1"/>
  <c r="D237" i="30" a="1"/>
  <c r="I21" i="30" a="1"/>
  <c r="I251" i="30" a="1"/>
  <c r="F178" i="30" a="1"/>
  <c r="H133" i="30" a="1"/>
  <c r="D124" i="30" a="1"/>
  <c r="D62" i="30" a="1"/>
  <c r="D106" i="30" a="1"/>
  <c r="H79" i="30" a="1"/>
  <c r="C39" i="30" a="1"/>
  <c r="M241" i="30" a="1"/>
  <c r="H152" i="30" a="1"/>
  <c r="D164" i="30" a="1"/>
  <c r="I129" i="30" a="1"/>
  <c r="H77" i="30" a="1"/>
  <c r="D184" i="30" a="1"/>
  <c r="F164" i="30" a="1"/>
  <c r="H92" i="30" a="1"/>
  <c r="D24" i="30" a="1"/>
  <c r="G193" i="30" a="1"/>
  <c r="C187" i="30" a="1"/>
  <c r="D64" i="30" a="1"/>
  <c r="H106" i="30" a="1"/>
  <c r="F98" i="30" a="1"/>
  <c r="H159" i="30" a="1"/>
  <c r="H24" i="30" a="1"/>
  <c r="D158" i="30" a="1"/>
  <c r="H16" i="30" a="1"/>
  <c r="D211" i="30" a="1"/>
  <c r="M187" i="30" a="1"/>
  <c r="M269" i="30" a="1"/>
  <c r="G17" i="30" a="1"/>
  <c r="H2" i="30" a="1"/>
  <c r="H23" i="30" a="1"/>
  <c r="H91" i="30" a="1"/>
  <c r="D186" i="30" a="1"/>
  <c r="I223" i="30" a="1"/>
  <c r="D240" i="30" a="1"/>
  <c r="I237" i="30" a="1"/>
  <c r="I195" i="30" a="1"/>
  <c r="D79" i="30" a="1"/>
  <c r="C161" i="30" a="1"/>
  <c r="E37" i="30" a="1"/>
  <c r="C255" i="30" a="1"/>
  <c r="I35" i="30" a="1"/>
  <c r="H10" i="30" a="1"/>
  <c r="D214" i="30" a="1"/>
  <c r="M215" i="30" a="1"/>
  <c r="H146" i="30" a="1"/>
  <c r="I141" i="30" a="1"/>
  <c r="D76" i="30" a="1"/>
  <c r="M133" i="30" a="1"/>
  <c r="H164" i="30" a="1"/>
  <c r="D138" i="30" a="1"/>
  <c r="D218" i="30" a="1"/>
  <c r="D61" i="30" a="1"/>
  <c r="H213" i="30" a="1"/>
  <c r="H119" i="30" a="1"/>
  <c r="I249" i="30" a="1"/>
  <c r="D92" i="30" a="1"/>
  <c r="D39" i="30" a="1"/>
  <c r="D147" i="30" a="1"/>
  <c r="F260" i="30" a="1"/>
  <c r="H201" i="30" a="1"/>
  <c r="F152" i="30" a="1"/>
  <c r="H187" i="30" a="1"/>
  <c r="D144" i="30" a="1"/>
  <c r="H131" i="30" a="1"/>
  <c r="D130" i="30" a="1"/>
  <c r="D268" i="30" a="1"/>
  <c r="D269" i="30" a="1"/>
  <c r="E253" i="30" a="1"/>
  <c r="M11" i="30" a="1"/>
  <c r="M39" i="30" a="1"/>
  <c r="I47" i="30" a="1"/>
  <c r="D132" i="30" a="1"/>
  <c r="E171" i="30" a="1"/>
  <c r="D38" i="30" a="1"/>
  <c r="I263" i="30" a="1"/>
  <c r="H44" i="30" a="1"/>
  <c r="D187" i="30" a="1"/>
  <c r="I113" i="30" a="1"/>
  <c r="H260" i="30" a="1"/>
  <c r="H138" i="30" a="1"/>
  <c r="H227" i="30" a="1"/>
  <c r="E267" i="30" a="1"/>
  <c r="E267" i="30" l="1"/>
  <c r="H227" i="30"/>
  <c r="H138" i="30"/>
  <c r="H260" i="30"/>
  <c r="I113" i="30"/>
  <c r="D187" i="30"/>
  <c r="D180" i="30" s="1" a="1"/>
  <c r="D180" i="30" s="1"/>
  <c r="H44" i="30"/>
  <c r="I263" i="30"/>
  <c r="D38" i="30"/>
  <c r="M38" i="30" s="1"/>
  <c r="E171" i="30"/>
  <c r="D132" i="30"/>
  <c r="M132" i="30" s="1"/>
  <c r="I47" i="30"/>
  <c r="M39" i="30"/>
  <c r="M11" i="30"/>
  <c r="E253" i="30"/>
  <c r="D269" i="30"/>
  <c r="D262" i="30" s="1" a="1"/>
  <c r="D262" i="30" s="1"/>
  <c r="D268" i="30"/>
  <c r="M268" i="30" s="1"/>
  <c r="D130" i="30"/>
  <c r="M130" i="30" s="1"/>
  <c r="H131" i="30"/>
  <c r="D144" i="30"/>
  <c r="M144" i="30" s="1"/>
  <c r="H187" i="30"/>
  <c r="F152" i="30"/>
  <c r="H201" i="30"/>
  <c r="F260" i="30"/>
  <c r="D147" i="30"/>
  <c r="D140" i="30" s="1" a="1"/>
  <c r="D140" i="30" s="1"/>
  <c r="D39" i="30"/>
  <c r="D32" i="30" s="1" a="1"/>
  <c r="D32" i="30" s="1"/>
  <c r="D92" i="30"/>
  <c r="M92" i="30" s="1"/>
  <c r="I249" i="30"/>
  <c r="H119" i="30"/>
  <c r="H213" i="30"/>
  <c r="D61" i="30"/>
  <c r="M61" i="30" s="1"/>
  <c r="D218" i="30"/>
  <c r="D138" i="30"/>
  <c r="H164" i="30"/>
  <c r="M133" i="30"/>
  <c r="D76" i="30"/>
  <c r="M76" i="30" s="1"/>
  <c r="I141" i="30"/>
  <c r="H146" i="30"/>
  <c r="M215" i="30"/>
  <c r="D214" i="30"/>
  <c r="M214" i="30" s="1"/>
  <c r="H10" i="30"/>
  <c r="I35" i="30"/>
  <c r="C255" i="30"/>
  <c r="E37" i="30"/>
  <c r="N37" i="30" s="1"/>
  <c r="C161" i="30"/>
  <c r="D79" i="30"/>
  <c r="D72" i="30" s="1" a="1"/>
  <c r="D72" i="30" s="1"/>
  <c r="I195" i="30"/>
  <c r="I237" i="30"/>
  <c r="D240" i="30"/>
  <c r="M240" i="30" s="1"/>
  <c r="I223" i="30"/>
  <c r="D186" i="30"/>
  <c r="M186" i="30" s="1"/>
  <c r="H91" i="30"/>
  <c r="H23" i="30"/>
  <c r="H2" i="30"/>
  <c r="G17" i="30"/>
  <c r="P17" i="30" s="1"/>
  <c r="M269" i="30"/>
  <c r="M187" i="30"/>
  <c r="D211" i="30"/>
  <c r="M211" i="30" s="1"/>
  <c r="H16" i="30"/>
  <c r="D158" i="30"/>
  <c r="M158" i="30" s="1"/>
  <c r="H24" i="30"/>
  <c r="H159" i="30"/>
  <c r="F98" i="30"/>
  <c r="H106" i="30"/>
  <c r="D64" i="30"/>
  <c r="M64" i="30" s="1"/>
  <c r="C187" i="30"/>
  <c r="G193" i="30"/>
  <c r="P193" i="30" s="1"/>
  <c r="D24" i="30"/>
  <c r="M24" i="30" s="1"/>
  <c r="H92" i="30"/>
  <c r="F164" i="30"/>
  <c r="D184" i="30"/>
  <c r="M184" i="30" s="1"/>
  <c r="H77" i="30"/>
  <c r="I129" i="30"/>
  <c r="D164" i="30"/>
  <c r="H152" i="30"/>
  <c r="M241" i="30"/>
  <c r="C39" i="30"/>
  <c r="H79" i="30"/>
  <c r="D106" i="30"/>
  <c r="M106" i="30" s="1"/>
  <c r="D62" i="30"/>
  <c r="M62" i="30" s="1"/>
  <c r="D124" i="30"/>
  <c r="H133" i="30"/>
  <c r="F178" i="30"/>
  <c r="I251" i="30"/>
  <c r="I21" i="30"/>
  <c r="D237" i="30"/>
  <c r="M237" i="30" s="1"/>
  <c r="F44" i="30"/>
  <c r="I73" i="30"/>
  <c r="H52" i="30"/>
  <c r="E159" i="30"/>
  <c r="D89" i="30"/>
  <c r="M89" i="30" s="1"/>
  <c r="H70" i="30"/>
  <c r="E185" i="30"/>
  <c r="D266" i="30"/>
  <c r="M266" i="30" s="1"/>
  <c r="H246" i="30"/>
  <c r="C65" i="30"/>
  <c r="D172" i="30"/>
  <c r="M172" i="30" s="1"/>
  <c r="I209" i="30"/>
  <c r="C173" i="30"/>
  <c r="M161" i="30"/>
  <c r="D52" i="30"/>
  <c r="M52" i="30" s="1"/>
  <c r="G233" i="30"/>
  <c r="P233" i="30" s="1"/>
  <c r="D90" i="30"/>
  <c r="M90" i="30" s="1"/>
  <c r="E117" i="30"/>
  <c r="D117" i="30" s="1"/>
  <c r="D114" i="30" s="1" a="1"/>
  <c r="D114" i="30" s="1"/>
  <c r="C93" i="30"/>
  <c r="D98" i="30"/>
  <c r="I265" i="30"/>
  <c r="I235" i="30"/>
  <c r="D157" i="30"/>
  <c r="M157" i="30" s="1"/>
  <c r="H178" i="30"/>
  <c r="D103" i="30"/>
  <c r="M103" i="30" s="1"/>
  <c r="D30" i="30"/>
  <c r="E239" i="30"/>
  <c r="D143" i="30"/>
  <c r="M143" i="30" s="1"/>
  <c r="F56" i="30"/>
  <c r="M25" i="30"/>
  <c r="D10" i="30"/>
  <c r="M10" i="30" s="1"/>
  <c r="I115" i="30"/>
  <c r="E51" i="30"/>
  <c r="H232" i="30"/>
  <c r="H78" i="30"/>
  <c r="D78" i="30"/>
  <c r="M78" i="30" s="1"/>
  <c r="H39" i="30"/>
  <c r="D260" i="30"/>
  <c r="D44" i="30"/>
  <c r="H240" i="30"/>
  <c r="F232" i="30"/>
  <c r="M173" i="30"/>
  <c r="H225" i="30"/>
  <c r="F246" i="30"/>
  <c r="H64" i="30"/>
  <c r="D226" i="30"/>
  <c r="M226" i="30" s="1"/>
  <c r="F70" i="30"/>
  <c r="C241" i="30"/>
  <c r="G99" i="30"/>
  <c r="P99" i="30" s="1"/>
  <c r="D84" i="30"/>
  <c r="H206" i="30"/>
  <c r="D133" i="30"/>
  <c r="D126" i="30" s="1" a="1"/>
  <c r="D126" i="30" s="1"/>
  <c r="I87" i="30"/>
  <c r="D197" i="30"/>
  <c r="M197" i="30" s="1"/>
  <c r="D110" i="30"/>
  <c r="D11" i="30"/>
  <c r="D116" i="30"/>
  <c r="M116" i="30" s="1"/>
  <c r="H118" i="30"/>
  <c r="H63" i="30"/>
  <c r="D265" i="30"/>
  <c r="M265" i="30" s="1"/>
  <c r="I75" i="30"/>
  <c r="H124" i="30"/>
  <c r="D65" i="30"/>
  <c r="D58" i="30" s="1" a="1"/>
  <c r="D58" i="30" s="1"/>
  <c r="H239" i="30"/>
  <c r="G57" i="30"/>
  <c r="P57" i="30" s="1"/>
  <c r="M201" i="30"/>
  <c r="D241" i="30"/>
  <c r="D234" i="30" s="1" a="1"/>
  <c r="D234" i="30" s="1"/>
  <c r="G261" i="30"/>
  <c r="P261" i="30" s="1"/>
  <c r="H199" i="30"/>
  <c r="I183" i="30"/>
  <c r="I61" i="30"/>
  <c r="H51" i="30"/>
  <c r="D129" i="30"/>
  <c r="M129" i="30" s="1"/>
  <c r="H117" i="30"/>
  <c r="C269" i="30"/>
  <c r="D119" i="30"/>
  <c r="D112" i="30" s="1" a="1"/>
  <c r="D112" i="30" s="1"/>
  <c r="D252" i="30"/>
  <c r="M252" i="30" s="1"/>
  <c r="G219" i="30"/>
  <c r="P219" i="30" s="1"/>
  <c r="C227" i="30"/>
  <c r="H105" i="30"/>
  <c r="H255" i="30"/>
  <c r="D238" i="30"/>
  <c r="M238" i="30" s="1"/>
  <c r="D232" i="30"/>
  <c r="H9" i="30"/>
  <c r="I89" i="30"/>
  <c r="I167" i="30"/>
  <c r="M93" i="30"/>
  <c r="H253" i="30"/>
  <c r="I19" i="30"/>
  <c r="H84" i="30"/>
  <c r="D223" i="30"/>
  <c r="M223" i="30" s="1"/>
  <c r="E105" i="30"/>
  <c r="D170" i="30"/>
  <c r="M170" i="30" s="1"/>
  <c r="C107" i="30"/>
  <c r="C119" i="30"/>
  <c r="H11" i="30"/>
  <c r="I143" i="30"/>
  <c r="H56" i="30"/>
  <c r="C215" i="30"/>
  <c r="E9" i="30"/>
  <c r="M119" i="30"/>
  <c r="M107" i="30"/>
  <c r="D255" i="30"/>
  <c r="D248" i="30" s="1" a="1"/>
  <c r="D248" i="30" s="1"/>
  <c r="E213" i="30"/>
  <c r="D8" i="30"/>
  <c r="M8" i="30" s="1"/>
  <c r="H53" i="30"/>
  <c r="H171" i="30"/>
  <c r="H161" i="30"/>
  <c r="I211" i="30"/>
  <c r="H215" i="30"/>
  <c r="F30" i="30"/>
  <c r="H38" i="30"/>
  <c r="D107" i="30"/>
  <c r="D100" i="30" s="1" a="1"/>
  <c r="D100" i="30" s="1"/>
  <c r="D215" i="30"/>
  <c r="D208" i="30" s="1" a="1"/>
  <c r="D208" i="30" s="1"/>
  <c r="E225" i="30"/>
  <c r="F218" i="30"/>
  <c r="C133" i="30"/>
  <c r="G31" i="30"/>
  <c r="P31" i="30" s="1"/>
  <c r="F124" i="30"/>
  <c r="E91" i="30"/>
  <c r="D169" i="30"/>
  <c r="M169" i="30" s="1"/>
  <c r="D21" i="30"/>
  <c r="M21" i="30" s="1"/>
  <c r="D152" i="30"/>
  <c r="M65" i="30"/>
  <c r="E23" i="30"/>
  <c r="D206" i="30"/>
  <c r="I181" i="30"/>
  <c r="D212" i="30"/>
  <c r="M212" i="30" s="1"/>
  <c r="D7" i="30"/>
  <c r="M7" i="30" s="1"/>
  <c r="G247" i="30"/>
  <c r="P247" i="30" s="1"/>
  <c r="H65" i="30"/>
  <c r="H173" i="30"/>
  <c r="D49" i="30"/>
  <c r="M49" i="30" s="1"/>
  <c r="D254" i="30"/>
  <c r="M254" i="30" s="1"/>
  <c r="G165" i="30"/>
  <c r="P165" i="30" s="1"/>
  <c r="H30" i="30"/>
  <c r="M147" i="30"/>
  <c r="G207" i="30"/>
  <c r="P207" i="30" s="1"/>
  <c r="I59" i="30"/>
  <c r="F138" i="30"/>
  <c r="I103" i="30"/>
  <c r="M79" i="30"/>
  <c r="H214" i="30"/>
  <c r="H218" i="30"/>
  <c r="I33" i="30"/>
  <c r="D50" i="30"/>
  <c r="M50" i="30" s="1"/>
  <c r="C25" i="30"/>
  <c r="D224" i="30"/>
  <c r="M224" i="30" s="1"/>
  <c r="M255" i="30"/>
  <c r="D115" i="30"/>
  <c r="M115" i="30" s="1"/>
  <c r="G71" i="30"/>
  <c r="P71" i="30" s="1"/>
  <c r="H25" i="30"/>
  <c r="H37" i="30"/>
  <c r="I221" i="30"/>
  <c r="E145" i="30"/>
  <c r="I101" i="30"/>
  <c r="D93" i="30"/>
  <c r="D86" i="30" s="1" a="1"/>
  <c r="D86" i="30" s="1"/>
  <c r="M227" i="30"/>
  <c r="D36" i="30"/>
  <c r="M36" i="30" s="1"/>
  <c r="D104" i="30"/>
  <c r="M104" i="30" s="1"/>
  <c r="I169" i="30"/>
  <c r="I49" i="30"/>
  <c r="G45" i="30"/>
  <c r="P45" i="30" s="1"/>
  <c r="H267" i="30"/>
  <c r="D161" i="30"/>
  <c r="D154" i="30" s="1" a="1"/>
  <c r="D154" i="30" s="1"/>
  <c r="I7" i="30"/>
  <c r="H147" i="30"/>
  <c r="E77" i="30"/>
  <c r="M53" i="30"/>
  <c r="E199" i="30"/>
  <c r="D199" i="30" s="1"/>
  <c r="D196" i="30" s="1" a="1"/>
  <c r="D196" i="30" s="1"/>
  <c r="I157" i="30"/>
  <c r="D75" i="30"/>
  <c r="M75" i="30" s="1"/>
  <c r="H254" i="30"/>
  <c r="D251" i="30"/>
  <c r="M251" i="30" s="1"/>
  <c r="D56" i="30"/>
  <c r="H241" i="30"/>
  <c r="D233" i="30" s="1"/>
  <c r="H192" i="30"/>
  <c r="D16" i="30"/>
  <c r="E63" i="30"/>
  <c r="F192" i="30"/>
  <c r="I155" i="30"/>
  <c r="D53" i="30"/>
  <c r="D46" i="30" s="1" a="1"/>
  <c r="D46" i="30" s="1"/>
  <c r="D201" i="30"/>
  <c r="D194" i="30" s="1" a="1"/>
  <c r="D194" i="30" s="1"/>
  <c r="H186" i="30"/>
  <c r="C11" i="30"/>
  <c r="D160" i="30"/>
  <c r="M160" i="30" s="1"/>
  <c r="D200" i="30"/>
  <c r="M200" i="30" s="1"/>
  <c r="G179" i="30"/>
  <c r="P179" i="30" s="1"/>
  <c r="D146" i="30"/>
  <c r="M146" i="30" s="1"/>
  <c r="C79" i="30"/>
  <c r="G3" i="30"/>
  <c r="P3" i="30" s="1"/>
  <c r="E131" i="30"/>
  <c r="H98" i="30"/>
  <c r="G85" i="30"/>
  <c r="P85" i="30" s="1"/>
  <c r="D198" i="30"/>
  <c r="M198" i="30" s="1"/>
  <c r="H226" i="30"/>
  <c r="H110" i="30"/>
  <c r="F84" i="30"/>
  <c r="H185" i="30"/>
  <c r="H172" i="30"/>
  <c r="G139" i="30"/>
  <c r="P139" i="30" s="1"/>
  <c r="D35" i="30"/>
  <c r="M35" i="30" s="1"/>
  <c r="I197" i="30"/>
  <c r="F206" i="30"/>
  <c r="D22" i="30"/>
  <c r="M22" i="30" s="1"/>
  <c r="D2" i="30"/>
  <c r="D70" i="30"/>
  <c r="H93" i="30"/>
  <c r="D118" i="30"/>
  <c r="M118" i="30" s="1"/>
  <c r="I127" i="30"/>
  <c r="G125" i="30"/>
  <c r="P125" i="30" s="1"/>
  <c r="D246" i="30"/>
  <c r="F2" i="30"/>
  <c r="F110" i="30"/>
  <c r="D227" i="30"/>
  <c r="D220" i="30" s="1" a="1"/>
  <c r="D220" i="30" s="1"/>
  <c r="H160" i="30"/>
  <c r="H107" i="30"/>
  <c r="F16" i="30"/>
  <c r="H132" i="30"/>
  <c r="D173" i="30"/>
  <c r="D166" i="30" s="1" a="1"/>
  <c r="D166" i="30" s="1"/>
  <c r="D178" i="30"/>
  <c r="G153" i="30"/>
  <c r="P153" i="30" s="1"/>
  <c r="C53" i="30"/>
  <c r="H269" i="30"/>
  <c r="H145" i="30"/>
  <c r="C201" i="30"/>
  <c r="D183" i="30"/>
  <c r="M183" i="30" s="1"/>
  <c r="D192" i="30"/>
  <c r="H268" i="30"/>
  <c r="C147" i="30"/>
  <c r="H200" i="30"/>
  <c r="D25" i="30"/>
  <c r="D18" i="30" s="1" a="1"/>
  <c r="D18" i="30" s="1"/>
  <c r="G111" i="30"/>
  <c r="P111" i="30" s="1"/>
  <c r="Q11" i="29"/>
  <c r="BC19" i="29"/>
  <c r="AB19" i="29" s="1"/>
  <c r="D247" i="30"/>
  <c r="D219" i="30"/>
  <c r="D179" i="30"/>
  <c r="D153" i="30"/>
  <c r="D139" i="30"/>
  <c r="D125" i="30"/>
  <c r="D111" i="30"/>
  <c r="D99" i="30"/>
  <c r="D85" i="30"/>
  <c r="D71" i="30"/>
  <c r="D57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59" i="30"/>
  <c r="D156" i="30" s="1" a="1"/>
  <c r="D156" i="30" s="1"/>
  <c r="N159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G139" i="9" a="1"/>
  <c r="E253" i="9" a="1"/>
  <c r="G57" i="9" a="1"/>
  <c r="D64" i="9" a="1"/>
  <c r="H255" i="9" a="1"/>
  <c r="H9" i="9" a="1"/>
  <c r="M65" i="9" a="1"/>
  <c r="D89" i="9" a="1"/>
  <c r="F44" i="9" a="1"/>
  <c r="D130" i="9" a="1"/>
  <c r="H173" i="9" a="1"/>
  <c r="D115" i="9" a="1"/>
  <c r="D38" i="9" a="1"/>
  <c r="D227" i="9" a="1"/>
  <c r="D8" i="9" a="1"/>
  <c r="H119" i="9" a="1"/>
  <c r="M215" i="9" a="1"/>
  <c r="C215" i="9" a="1"/>
  <c r="F138" i="9" a="1"/>
  <c r="E23" i="9" a="1"/>
  <c r="D21" i="9" a="1"/>
  <c r="E145" i="9" a="1"/>
  <c r="H93" i="9" a="1"/>
  <c r="G125" i="9" a="1"/>
  <c r="G111" i="9" a="1"/>
  <c r="H227" i="9" a="1"/>
  <c r="D132" i="9" a="1"/>
  <c r="D7" i="9" a="1"/>
  <c r="D11" i="9" a="1"/>
  <c r="D252" i="9" a="1"/>
  <c r="H2" i="9" a="1"/>
  <c r="H107" i="9" a="1"/>
  <c r="D238" i="9" a="1"/>
  <c r="M93" i="9" a="1"/>
  <c r="G233" i="9" a="1"/>
  <c r="D200" i="9" a="1"/>
  <c r="E239" i="9" a="1"/>
  <c r="G219" i="9" a="1"/>
  <c r="C65" i="9" a="1"/>
  <c r="H215" i="9" a="1"/>
  <c r="D61" i="9" a="1"/>
  <c r="M161" i="9" a="1"/>
  <c r="D107" i="9" a="1"/>
  <c r="H39" i="9" a="1"/>
  <c r="F260" i="9" a="1"/>
  <c r="D198" i="9" a="1"/>
  <c r="D186" i="9" a="1"/>
  <c r="G45" i="9" a="1"/>
  <c r="D173" i="9" a="1"/>
  <c r="D211" i="9" a="1"/>
  <c r="D240" i="9" a="1"/>
  <c r="H16" i="9" a="1"/>
  <c r="D90" i="9" a="1"/>
  <c r="D266" i="9" a="1"/>
  <c r="D103" i="9" a="1"/>
  <c r="F84" i="9" a="1"/>
  <c r="M79" i="9" a="1"/>
  <c r="H79" i="9" a="1"/>
  <c r="M11" i="9" a="1"/>
  <c r="H241" i="9" a="1"/>
  <c r="D255" i="9" a="1"/>
  <c r="F110" i="9" a="1"/>
  <c r="D172" i="9" a="1"/>
  <c r="D158" i="9" a="1"/>
  <c r="D104" i="9" a="1"/>
  <c r="H38" i="9" a="1"/>
  <c r="E267" i="9" a="1"/>
  <c r="D93" i="9" a="1"/>
  <c r="M269" i="9" a="1"/>
  <c r="G153" i="9" a="1"/>
  <c r="D160" i="9" a="1"/>
  <c r="F192" i="9" a="1"/>
  <c r="M255" i="9" a="1"/>
  <c r="G247" i="9" a="1"/>
  <c r="E213" i="9" a="1"/>
  <c r="H24" i="9" a="1"/>
  <c r="H25" i="9" a="1"/>
  <c r="M25" i="9" a="1"/>
  <c r="E51" i="9" a="1"/>
  <c r="C25" i="9" a="1"/>
  <c r="F246" i="9" a="1"/>
  <c r="D25" i="9" a="1"/>
  <c r="E185" i="9" a="1"/>
  <c r="C161" i="9" a="1"/>
  <c r="D53" i="9" a="1"/>
  <c r="C107" i="9" a="1"/>
  <c r="C93" i="9" a="1"/>
  <c r="D39" i="9" a="1"/>
  <c r="C53" i="9" a="1"/>
  <c r="M147" i="9" a="1"/>
  <c r="D65" i="9" a="1"/>
  <c r="C119" i="9" a="1"/>
  <c r="D50" i="9" a="1"/>
  <c r="C255" i="9" a="1"/>
  <c r="D254" i="9" a="1"/>
  <c r="D144" i="9" a="1"/>
  <c r="F152" i="9" a="1"/>
  <c r="D241" i="9" a="1"/>
  <c r="E77" i="9" a="1"/>
  <c r="F164" i="9" a="1"/>
  <c r="E117" i="9" a="1"/>
  <c r="D269" i="9" a="1"/>
  <c r="D237" i="9" a="1"/>
  <c r="D106" i="9" a="1"/>
  <c r="E91" i="9" a="1"/>
  <c r="D201" i="9" a="1"/>
  <c r="D265" i="9" a="1"/>
  <c r="C133" i="9" a="1"/>
  <c r="I5" i="30" a="1"/>
  <c r="D223" i="9" a="1"/>
  <c r="M39" i="9" a="1"/>
  <c r="D24" i="9" a="1"/>
  <c r="C147" i="9" a="1"/>
  <c r="M241" i="9" a="1"/>
  <c r="D187" i="9" a="1"/>
  <c r="D224" i="9" a="1"/>
  <c r="M201" i="9" a="1"/>
  <c r="D129" i="9" a="1"/>
  <c r="G99" i="9" a="1"/>
  <c r="D214" i="9" a="1"/>
  <c r="M133" i="9" a="1"/>
  <c r="D92" i="9" a="1"/>
  <c r="D62" i="9" a="1"/>
  <c r="G17" i="9" a="1"/>
  <c r="D268" i="9" a="1"/>
  <c r="H161" i="9" a="1"/>
  <c r="D76" i="9" a="1"/>
  <c r="D170" i="9" a="1"/>
  <c r="D251" i="9" a="1"/>
  <c r="D169" i="9" a="1"/>
  <c r="H133" i="9" a="1"/>
  <c r="G261" i="9" a="1"/>
  <c r="E105" i="9" a="1"/>
  <c r="F232" i="9" a="1"/>
  <c r="D118" i="9" a="1"/>
  <c r="E159" i="9" a="1"/>
  <c r="H11" i="9" a="1"/>
  <c r="G71" i="9" a="1"/>
  <c r="E37" i="9" a="1"/>
  <c r="D116" i="9" a="1"/>
  <c r="G31" i="9" a="1"/>
  <c r="H147" i="9" a="1"/>
  <c r="D22" i="9" a="1"/>
  <c r="D212" i="9" a="1"/>
  <c r="D119" i="9" a="1"/>
  <c r="D226" i="9" a="1"/>
  <c r="C79" i="9" a="1"/>
  <c r="C269" i="9" a="1"/>
  <c r="M107" i="9" a="1"/>
  <c r="M187" i="9" a="1"/>
  <c r="E171" i="9" a="1"/>
  <c r="M173" i="9" a="1"/>
  <c r="D146" i="9" a="1"/>
  <c r="H201" i="9" a="1"/>
  <c r="H65" i="9" a="1"/>
  <c r="D78" i="9" a="1"/>
  <c r="F70" i="9" a="1"/>
  <c r="G207" i="9" a="1"/>
  <c r="D52" i="9" a="1"/>
  <c r="D197" i="9" a="1"/>
  <c r="D36" i="9" a="1"/>
  <c r="F178" i="9" a="1"/>
  <c r="H187" i="9" a="1"/>
  <c r="M53" i="9" a="1"/>
  <c r="F98" i="9" a="1"/>
  <c r="G193" i="9" a="1"/>
  <c r="D133" i="9" a="1"/>
  <c r="F56" i="9" a="1"/>
  <c r="H10" i="9" a="1"/>
  <c r="D183" i="9" a="1"/>
  <c r="D75" i="9" a="1"/>
  <c r="D161" i="9" a="1"/>
  <c r="C201" i="9" a="1"/>
  <c r="D35" i="9" a="1"/>
  <c r="F218" i="9" a="1"/>
  <c r="D157" i="9" a="1"/>
  <c r="C39" i="9" a="1"/>
  <c r="E131" i="9" a="1"/>
  <c r="C227" i="9" a="1"/>
  <c r="D143" i="9" a="1"/>
  <c r="C241" i="9" a="1"/>
  <c r="D147" i="9" a="1"/>
  <c r="H269" i="9" a="1"/>
  <c r="E199" i="9" a="1"/>
  <c r="G3" i="9" a="1"/>
  <c r="G179" i="9" a="1"/>
  <c r="F124" i="9" a="1"/>
  <c r="C11" i="9" a="1"/>
  <c r="H53" i="9" a="1"/>
  <c r="M119" i="9" a="1"/>
  <c r="H30" i="9" a="1"/>
  <c r="D184" i="9" a="1"/>
  <c r="C173" i="9" a="1"/>
  <c r="D79" i="9" a="1"/>
  <c r="G85" i="9" a="1"/>
  <c r="F206" i="9" a="1"/>
  <c r="G165" i="9" a="1"/>
  <c r="M227" i="9" a="1"/>
  <c r="E9" i="9" a="1"/>
  <c r="D10" i="9" a="1"/>
  <c r="E225" i="9" a="1"/>
  <c r="C187" i="9" a="1"/>
  <c r="D49" i="9" a="1"/>
  <c r="E63" i="9" a="1"/>
  <c r="D215" i="9" a="1"/>
  <c r="D193" i="30" l="1"/>
  <c r="D165" i="30"/>
  <c r="D37" i="30"/>
  <c r="D34" i="30" s="1" a="1"/>
  <c r="D34" i="30" s="1"/>
  <c r="N117" i="30"/>
  <c r="N199" i="30"/>
  <c r="D45" i="30"/>
  <c r="D207" i="30"/>
  <c r="D261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4" i="9" a="1"/>
  <c r="H185" i="9" a="1"/>
  <c r="H199" i="9" a="1"/>
  <c r="H253" i="9" a="1"/>
  <c r="I33" i="9" a="1"/>
  <c r="H171" i="9" a="1"/>
  <c r="H77" i="9" a="1"/>
  <c r="H105" i="9" a="1"/>
  <c r="H213" i="9" a="1"/>
  <c r="H23" i="9" a="1"/>
  <c r="H225" i="9" a="1"/>
  <c r="H145" i="9" a="1"/>
  <c r="H239" i="9" a="1"/>
  <c r="H159" i="9" a="1"/>
  <c r="I19" i="9" a="1"/>
  <c r="H37" i="9" a="1"/>
  <c r="H267" i="9" a="1"/>
  <c r="H51" i="9" a="1"/>
  <c r="H131" i="9" a="1"/>
  <c r="H91" i="9" a="1"/>
  <c r="H63" i="9" a="1"/>
  <c r="D18" i="9" a="1"/>
  <c r="H117" i="9" a="1"/>
  <c r="D32" i="9" a="1"/>
  <c r="M37" i="30" l="1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48" i="9" a="1"/>
  <c r="D34" i="9" a="1"/>
  <c r="D74" i="9" a="1"/>
  <c r="D60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88" i="9" a="1"/>
  <c r="D88" i="9" l="1"/>
  <c r="M88" i="9" s="1"/>
  <c r="D20" i="9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87" i="9" l="1"/>
  <c r="M87" i="9" s="1"/>
  <c r="D19" i="9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7" i="7"/>
  <c r="B16" i="7"/>
  <c r="F16" i="9" a="1"/>
  <c r="F30" i="9" a="1"/>
  <c r="U14" i="15" l="1"/>
  <c r="U27" i="15"/>
  <c r="L11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32" i="9" a="1"/>
  <c r="H64" i="9" a="1"/>
  <c r="H106" i="9" a="1"/>
  <c r="H214" i="9" a="1"/>
  <c r="H118" i="9" a="1"/>
  <c r="H146" i="9" a="1"/>
  <c r="H78" i="9" a="1"/>
  <c r="H226" i="9" a="1"/>
  <c r="H160" i="9" a="1"/>
  <c r="H172" i="9" a="1"/>
  <c r="H92" i="9" a="1"/>
  <c r="H268" i="9" a="1"/>
  <c r="H186" i="9" a="1"/>
  <c r="H200" i="9" a="1"/>
  <c r="H254" i="9" a="1"/>
  <c r="H240" i="9" a="1"/>
  <c r="H52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112" i="9" a="1"/>
  <c r="D140" i="9" a="1"/>
  <c r="D180" i="9" a="1"/>
  <c r="D262" i="9" a="1"/>
  <c r="D194" i="9" a="1"/>
  <c r="D220" i="9" a="1"/>
  <c r="D126" i="9" a="1"/>
  <c r="D58" i="9" a="1"/>
  <c r="I87" i="9" a="1"/>
  <c r="I195" i="9" a="1"/>
  <c r="I49" i="9" a="1"/>
  <c r="I181" i="9" a="1"/>
  <c r="I223" i="9" a="1"/>
  <c r="I21" i="9" a="1"/>
  <c r="I263" i="9" a="1"/>
  <c r="I197" i="9" a="1"/>
  <c r="I61" i="9" a="1"/>
  <c r="I113" i="9" a="1"/>
  <c r="I209" i="9" a="1"/>
  <c r="I183" i="9" a="1"/>
  <c r="I167" i="9" a="1"/>
  <c r="I221" i="9" a="1"/>
  <c r="I89" i="9" a="1"/>
  <c r="D46" i="9" a="1"/>
  <c r="I211" i="9" a="1"/>
  <c r="I169" i="9" a="1"/>
  <c r="I235" i="9" a="1"/>
  <c r="I73" i="9" a="1"/>
  <c r="I155" i="9" a="1"/>
  <c r="I101" i="9" a="1"/>
  <c r="I237" i="9" a="1"/>
  <c r="I249" i="9" a="1"/>
  <c r="I75" i="9" a="1"/>
  <c r="I103" i="9" a="1"/>
  <c r="D86" i="9" a="1"/>
  <c r="I115" i="9" a="1"/>
  <c r="I265" i="9" a="1"/>
  <c r="I35" i="9" a="1"/>
  <c r="I7" i="9" a="1"/>
  <c r="I141" i="9" a="1"/>
  <c r="I127" i="9" a="1"/>
  <c r="I47" i="9" a="1"/>
  <c r="I59" i="9" a="1"/>
  <c r="I157" i="9" a="1"/>
  <c r="I251" i="9" a="1"/>
  <c r="D72" i="9" a="1"/>
  <c r="I143" i="9" a="1"/>
  <c r="I12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70" i="9" a="1"/>
  <c r="D206" i="9" a="1"/>
  <c r="H232" i="9" a="1"/>
  <c r="D246" i="9" a="1"/>
  <c r="H260" i="9" a="1"/>
  <c r="H218" i="9" a="1"/>
  <c r="D70" i="9" a="1"/>
  <c r="H246" i="9" a="1"/>
  <c r="D16" i="9" a="1"/>
  <c r="H206" i="9" a="1"/>
  <c r="H84" i="9" a="1"/>
  <c r="D232" i="9" a="1"/>
  <c r="D110" i="9" a="1"/>
  <c r="H138" i="9" a="1"/>
  <c r="H98" i="9" a="1"/>
  <c r="D192" i="9" a="1"/>
  <c r="D30" i="9" a="1"/>
  <c r="D44" i="9" a="1"/>
  <c r="D138" i="9" a="1"/>
  <c r="H110" i="9" a="1"/>
  <c r="D260" i="9" a="1"/>
  <c r="D152" i="9" a="1"/>
  <c r="D164" i="9" a="1"/>
  <c r="H44" i="9" a="1"/>
  <c r="H152" i="9" a="1"/>
  <c r="D124" i="9" a="1"/>
  <c r="D84" i="9" a="1"/>
  <c r="D218" i="9" a="1"/>
  <c r="H164" i="9" a="1"/>
  <c r="D56" i="9" a="1"/>
  <c r="D98" i="9" a="1"/>
  <c r="H56" i="9" a="1"/>
  <c r="D178" i="9" a="1"/>
  <c r="H178" i="9" a="1"/>
  <c r="H192" i="9" a="1"/>
  <c r="H124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<sst xmlns="http://schemas.openxmlformats.org/spreadsheetml/2006/main" count="4527" uniqueCount="2622">
  <si>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</si>
  <si>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</si>
  <si>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</si>
  <si>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</si>
  <si>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</si>
  <si>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</si>
  <si>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</si>
  <si>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</si>
  <si>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</si>
  <si>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</si>
  <si>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</si>
  <si>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</si>
  <si>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</si>
  <si>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</si>
  <si>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</si>
  <si>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</si>
  <si>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</si>
  <si>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</si>
  <si>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</si>
  <si>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</si>
  <si>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</si>
  <si>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</si>
  <si>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</si>
  <si>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</si>
  <si>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</si>
  <si>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</si>
  <si>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</si>
  <si>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</si>
  <si>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</si>
  <si>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</si>
  <si>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</si>
  <si>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</si>
  <si>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</si>
  <si>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</si>
  <si>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</si>
  <si>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</si>
  <si>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</si>
  <si>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</si>
  <si>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</si>
  <si>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</si>
  <si>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</si>
  <si>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</si>
  <si>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</si>
  <si>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</si>
  <si>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</si>
  <si>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</si>
  <si>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</si>
  <si>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</si>
  <si>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</si>
  <si>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</si>
  <si>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</si>
  <si>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</si>
  <si>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</si>
  <si>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</si>
  <si>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</si>
  <si>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</si>
  <si>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</si>
  <si>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</si>
  <si>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</si>
  <si>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</si>
  <si>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</si>
  <si>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</si>
  <si>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</si>
  <si>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</si>
  <si>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</si>
  <si>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</si>
  <si>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</si>
  <si>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</si>
  <si>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</si>
  <si>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</si>
  <si>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</si>
  <si>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</si>
  <si>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</si>
  <si>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</si>
  <si>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</si>
  <si>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</si>
  <si>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</si>
  <si>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</si>
  <si>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</si>
  <si>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</si>
  <si>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</si>
  <si>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</si>
  <si>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</si>
  <si>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</si>
  <si>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</si>
  <si>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</si>
  <si>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</si>
  <si>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</si>
  <si>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</si>
  <si>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</si>
  <si>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</si>
  <si>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</si>
  <si>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</si>
  <si>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</si>
  <si>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</si>
  <si>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</si>
  <si>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</si>
  <si>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</si>
  <si>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</si>
  <si>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</si>
  <si>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</si>
  <si>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</si>
  <si>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</si>
  <si>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</si>
  <si>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</si>
  <si>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</si>
  <si>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</si>
  <si>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</si>
  <si>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</si>
  <si>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</si>
  <si>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</si>
  <si>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</si>
  <si>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</si>
  <si>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</si>
  <si>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</si>
  <si>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</si>
  <si>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</si>
  <si>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</si>
  <si>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</si>
  <si>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</si>
  <si>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</si>
  <si>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</si>
  <si>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</si>
  <si>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</si>
  <si>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</si>
  <si>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</si>
  <si>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</si>
  <si>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</si>
  <si>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</si>
  <si>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</si>
  <si>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</si>
  <si>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</si>
  <si>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</si>
  <si>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</si>
  <si>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</si>
  <si>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</si>
  <si>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</si>
  <si>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</si>
  <si>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</si>
  <si>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</si>
  <si>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</si>
  <si>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</si>
  <si>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</si>
  <si>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</si>
  <si>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</si>
  <si>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</si>
  <si>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</si>
  <si>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</si>
  <si>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</si>
  <si>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</si>
  <si>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</si>
  <si>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</si>
  <si>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</si>
  <si>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</si>
  <si>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</si>
  <si>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</si>
  <si>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</si>
  <si>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</si>
  <si>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</si>
  <si>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</si>
  <si>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</si>
  <si>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</si>
  <si>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</si>
  <si>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</si>
  <si>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</si>
  <si>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</si>
  <si>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</si>
  <si>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</si>
  <si>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</si>
  <si>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</si>
  <si>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</si>
  <si>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</si>
  <si>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</si>
  <si>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</si>
  <si>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</si>
  <si>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</si>
  <si>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</si>
  <si>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</si>
  <si>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</si>
  <si>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</si>
  <si>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</si>
  <si>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</si>
  <si>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</si>
  <si>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</si>
  <si>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</si>
  <si>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</si>
  <si>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</si>
  <si>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</si>
  <si>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</si>
  <si>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</si>
  <si>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</si>
  <si>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</si>
  <si>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</si>
  <si>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</si>
  <si>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</si>
  <si>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</si>
  <si>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</si>
  <si>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</si>
  <si>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</si>
  <si>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</si>
  <si>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</si>
  <si>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</si>
  <si>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</si>
  <si>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</si>
  <si>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</si>
  <si>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</si>
  <si>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</si>
  <si>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</si>
  <si>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</si>
  <si>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</si>
  <si>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</si>
  <si>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</si>
  <si>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</si>
  <si>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</si>
  <si>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</si>
  <si>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</si>
  <si>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</si>
  <si>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</si>
  <si>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</si>
  <si>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</si>
  <si>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</si>
  <si>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</si>
  <si>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</si>
  <si>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</si>
  <si>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</si>
  <si>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</si>
  <si>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</si>
  <si>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</si>
  <si>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</si>
  <si>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</si>
  <si>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</si>
  <si>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</si>
  <si>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</si>
  <si>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</si>
  <si>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</si>
  <si>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</si>
  <si>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</si>
  <si>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</si>
  <si>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</si>
  <si>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</si>
  <si>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</si>
  <si>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</si>
  <si>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</si>
  <si>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</si>
  <si>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</si>
  <si>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</si>
  <si>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</si>
  <si>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</si>
  <si>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</si>
  <si>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</si>
  <si>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</si>
  <si>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</si>
  <si>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</si>
  <si>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</si>
  <si>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</si>
  <si>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</si>
  <si>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</si>
  <si>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</si>
  <si>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</si>
  <si>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</si>
  <si>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</si>
  <si>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</si>
  <si>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</si>
  <si>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</si>
  <si>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</si>
  <si>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</si>
  <si>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</si>
  <si>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</si>
  <si>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</si>
  <si>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</si>
  <si>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</si>
  <si>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</si>
  <si>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</si>
  <si>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</si>
  <si>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</si>
  <si>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</si>
  <si>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</si>
  <si>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</si>
  <si>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</si>
  <si>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</si>
  <si>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</si>
  <si>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</si>
  <si>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</si>
  <si>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</si>
  <si>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</si>
  <si>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</si>
  <si>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</si>
  <si>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</si>
  <si>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</si>
  <si>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</si>
  <si>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</si>
  <si>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</si>
  <si>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</si>
  <si>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</si>
  <si>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</si>
  <si>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</si>
  <si>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</si>
  <si>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</si>
  <si>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</si>
  <si>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</si>
  <si>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</si>
  <si>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</si>
  <si>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</si>
  <si>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</si>
  <si>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</si>
  <si>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</si>
  <si>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</si>
  <si>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</si>
  <si>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</si>
  <si>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</si>
  <si>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</si>
  <si>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</si>
  <si>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</si>
  <si>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</si>
  <si>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</si>
  <si>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</si>
  <si>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</si>
  <si>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</si>
  <si>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</si>
  <si>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</si>
  <si>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</si>
  <si>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</si>
  <si>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</si>
  <si>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</si>
  <si>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</si>
  <si>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</si>
  <si>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</si>
  <si>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</si>
  <si>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</si>
  <si>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</si>
  <si>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</si>
  <si>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</si>
  <si>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</si>
  <si>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</si>
  <si>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</si>
  <si>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</si>
  <si>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</si>
  <si>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</si>
  <si>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</si>
  <si>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</si>
  <si>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</si>
  <si>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</si>
  <si>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</si>
  <si>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</si>
  <si>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</si>
  <si>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</si>
  <si>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</si>
  <si>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</si>
  <si>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</si>
  <si>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</si>
  <si>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</si>
  <si>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</si>
  <si>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</si>
  <si>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</si>
  <si>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</si>
  <si>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</si>
  <si>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</si>
  <si>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</si>
  <si>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</si>
  <si>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</si>
  <si>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</si>
  <si>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</si>
  <si>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</si>
  <si>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</si>
  <si>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</si>
  <si>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</si>
  <si>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</si>
  <si>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</si>
  <si>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</si>
  <si>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</si>
  <si>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</si>
  <si>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</si>
  <si>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</si>
  <si>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</si>
  <si>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</si>
  <si>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</si>
  <si>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</si>
  <si>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</si>
  <si>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</si>
  <si>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</si>
  <si>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</si>
  <si>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</si>
  <si>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</si>
  <si>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</si>
  <si>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</si>
  <si>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</si>
  <si>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</si>
  <si>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</si>
  <si>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</si>
  <si>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</si>
  <si>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</si>
  <si>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</si>
  <si>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</si>
  <si>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</si>
  <si>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</si>
  <si>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</si>
  <si>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</si>
  <si>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</si>
  <si>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</si>
  <si>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</si>
  <si>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</si>
  <si>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</si>
  <si>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</si>
  <si>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</si>
  <si>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</si>
  <si>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</si>
  <si>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</si>
  <si>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</si>
  <si>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</si>
  <si>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</si>
  <si>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</si>
  <si>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</si>
  <si>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</si>
  <si>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</si>
  <si>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</si>
  <si>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</si>
  <si>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</si>
  <si>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</si>
  <si>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</si>
  <si>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</si>
  <si>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</si>
  <si>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</si>
  <si>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</si>
  <si>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</si>
  <si>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</si>
  <si>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</si>
  <si>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</si>
  <si>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</si>
  <si>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</si>
  <si>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</si>
  <si>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</si>
  <si>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</si>
  <si>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</si>
  <si>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</si>
  <si>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</si>
  <si>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</si>
  <si>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</si>
  <si>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</si>
  <si>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</si>
  <si>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</si>
  <si>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</si>
  <si>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</si>
  <si>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</si>
  <si>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</si>
  <si>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</si>
  <si>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</si>
  <si>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</si>
  <si>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</si>
  <si>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</si>
  <si>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</si>
  <si>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</si>
  <si>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</si>
  <si>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</si>
  <si>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</si>
  <si>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</si>
  <si>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</si>
  <si>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</si>
  <si>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</si>
  <si>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</si>
  <si>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</si>
  <si>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</si>
  <si>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</si>
  <si>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</si>
  <si>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</si>
  <si>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</si>
  <si>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</si>
  <si>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</si>
  <si>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</si>
  <si>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</si>
  <si>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</si>
  <si>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</si>
  <si>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</si>
  <si>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</si>
  <si>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</si>
  <si>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</si>
  <si>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</si>
  <si>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</si>
  <si>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</si>
  <si>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</si>
  <si>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</si>
  <si>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</si>
  <si>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</si>
  <si>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</si>
  <si>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</si>
  <si>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</si>
  <si>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</si>
  <si>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</si>
  <si>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</si>
  <si>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</si>
  <si>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</si>
  <si>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</si>
  <si>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</si>
  <si>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</si>
  <si>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</si>
  <si>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</si>
  <si>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</si>
  <si>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</si>
  <si>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</si>
  <si>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</si>
  <si>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</si>
  <si>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</si>
  <si>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</si>
  <si>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</si>
  <si>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</si>
  <si>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</si>
  <si>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</si>
  <si>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</si>
  <si>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</si>
  <si>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</si>
  <si>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</si>
  <si>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</si>
  <si>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</si>
  <si>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</si>
  <si>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</si>
  <si>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</si>
  <si>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</si>
  <si>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</si>
  <si>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</si>
  <si>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</si>
  <si>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</si>
  <si>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</si>
  <si>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</si>
  <si>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</si>
  <si>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</si>
  <si>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</si>
  <si>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</si>
  <si>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</si>
  <si>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</si>
  <si>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</si>
  <si>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</si>
  <si>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</si>
  <si>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</si>
  <si>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</si>
  <si>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</si>
  <si>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</si>
  <si>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</si>
  <si>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</si>
  <si>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</si>
  <si>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</si>
  <si>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</si>
  <si>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</si>
  <si>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</si>
  <si>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</si>
  <si>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</si>
  <si>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</si>
  <si>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</si>
  <si>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</si>
  <si>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</si>
  <si>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</si>
  <si>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</si>
  <si>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</si>
  <si>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</si>
  <si>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</si>
  <si>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</si>
  <si>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</si>
  <si>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</si>
  <si>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</si>
  <si>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</si>
  <si>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</si>
  <si>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</si>
  <si>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</si>
  <si>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</si>
  <si>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</si>
  <si>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</si>
  <si>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</si>
  <si>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</si>
  <si>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</si>
  <si>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</si>
  <si>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</si>
  <si>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</si>
  <si>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</si>
  <si>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</si>
  <si>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</si>
  <si>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</si>
  <si>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</si>
  <si>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</si>
  <si>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</si>
  <si>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</si>
  <si>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</si>
  <si>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</si>
  <si>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</si>
  <si>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</si>
  <si>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</si>
  <si>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</si>
  <si>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</si>
  <si>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</si>
  <si>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</si>
  <si>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</si>
  <si>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</si>
  <si>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</si>
  <si>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</si>
  <si>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</si>
  <si>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</si>
  <si>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</si>
  <si>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</si>
  <si>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</si>
  <si>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</si>
  <si>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</si>
  <si>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</si>
  <si>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</si>
  <si>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</si>
  <si>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</si>
  <si>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</si>
  <si>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</si>
  <si>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</si>
  <si>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</si>
  <si>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</si>
  <si>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</si>
  <si>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</si>
  <si>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</si>
  <si>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</si>
  <si>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</si>
  <si>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</si>
  <si>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</si>
  <si>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</si>
  <si>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</si>
  <si>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</si>
  <si>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</si>
  <si>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</si>
  <si>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</si>
  <si>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</si>
  <si>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</si>
  <si>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</si>
  <si>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</si>
  <si>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</si>
  <si>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</si>
  <si>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</si>
  <si>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</si>
  <si>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</si>
  <si>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</si>
  <si>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</si>
  <si>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</si>
  <si>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</si>
  <si>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</si>
  <si>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</si>
  <si>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</si>
  <si>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</si>
  <si>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</si>
  <si>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</si>
  <si>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</si>
  <si>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</si>
  <si>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</si>
  <si>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</si>
  <si>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</si>
  <si>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</si>
  <si>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</si>
  <si>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</si>
  <si>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</si>
  <si>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</si>
  <si>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</si>
  <si>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</si>
  <si>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</si>
  <si>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</si>
  <si>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</si>
  <si>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</si>
  <si>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</si>
  <si>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</si>
  <si>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</si>
  <si>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</si>
  <si>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</si>
  <si>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</si>
  <si>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</si>
  <si>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</si>
  <si>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</si>
  <si>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</si>
  <si>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</si>
  <si>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</si>
  <si>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</si>
  <si>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</si>
  <si>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</si>
  <si>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</si>
  <si>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</si>
  <si>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</si>
  <si>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</si>
  <si>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</si>
  <si>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</si>
  <si>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</si>
  <si>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</si>
  <si>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</si>
  <si>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</si>
  <si>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</si>
  <si>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</si>
  <si>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</si>
  <si>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</si>
  <si>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</si>
  <si>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</si>
  <si>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</si>
  <si>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</si>
  <si>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</si>
  <si>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</si>
  <si>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</si>
  <si>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</si>
  <si>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</si>
  <si>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</si>
  <si>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</si>
  <si>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</si>
  <si>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</si>
  <si>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</si>
  <si>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</si>
  <si>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</si>
  <si>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</si>
  <si>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</si>
  <si>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</si>
  <si>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</si>
  <si>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</si>
  <si>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</si>
  <si>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</si>
  <si>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</si>
  <si>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</si>
  <si>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</si>
  <si>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</si>
  <si>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</si>
  <si>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</si>
  <si>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</si>
  <si>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</si>
  <si>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</si>
  <si>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</si>
  <si>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</si>
  <si>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</si>
  <si>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</si>
  <si>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</si>
  <si>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</si>
  <si>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</si>
  <si>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</si>
  <si>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</si>
  <si>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</si>
  <si>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</si>
  <si>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</si>
  <si>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</si>
  <si>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</si>
  <si>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</si>
  <si>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</si>
  <si>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</si>
  <si>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</si>
  <si>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</si>
  <si>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</si>
  <si>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</si>
  <si>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</si>
  <si>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</si>
  <si>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</si>
  <si>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</si>
  <si>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</si>
  <si>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</si>
  <si>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</si>
  <si>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</si>
  <si>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</si>
  <si>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</si>
  <si>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</si>
  <si>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</si>
  <si>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</si>
  <si>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</si>
  <si>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</si>
  <si>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</si>
  <si>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</si>
  <si>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</si>
  <si>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</si>
  <si>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</si>
  <si>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</si>
  <si>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</si>
  <si>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</si>
  <si>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</si>
  <si>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</si>
  <si>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</si>
  <si>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</si>
  <si>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</si>
  <si>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</si>
  <si>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</si>
  <si>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</si>
  <si>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</si>
  <si>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</si>
  <si>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</si>
  <si>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</si>
  <si>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</si>
  <si>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</si>
  <si>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</si>
  <si>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</si>
  <si>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</si>
  <si>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</si>
  <si>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</si>
  <si>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</si>
  <si>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</si>
  <si>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</si>
  <si>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</si>
  <si>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</si>
  <si>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</si>
  <si>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</si>
  <si>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</si>
  <si>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</si>
  <si>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</si>
  <si>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</si>
  <si>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</si>
  <si>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</si>
  <si>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</si>
  <si>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</si>
  <si>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</si>
  <si>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</si>
  <si>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</si>
  <si>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</si>
  <si>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</si>
  <si>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</si>
  <si>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</si>
  <si>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</si>
  <si>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</si>
  <si>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</si>
  <si>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</si>
  <si>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</si>
  <si>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</si>
  <si>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</si>
  <si>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</si>
  <si>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</si>
  <si>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</si>
  <si>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</si>
  <si>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</si>
  <si>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</si>
  <si>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</si>
  <si>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</si>
  <si>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</si>
  <si>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</si>
  <si>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</si>
  <si>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</si>
  <si>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</si>
  <si>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</si>
  <si>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</si>
  <si>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</si>
  <si>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</si>
  <si>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</si>
  <si>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</si>
  <si>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</si>
  <si>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</si>
  <si>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</si>
  <si>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</si>
  <si>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</si>
  <si>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</si>
  <si>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</si>
  <si>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</si>
  <si>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</si>
  <si>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</si>
  <si>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</si>
  <si>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</si>
  <si>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</si>
  <si>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</si>
  <si>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</si>
  <si>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</si>
  <si>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</si>
  <si>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</si>
  <si>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</si>
  <si>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</si>
  <si>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</si>
  <si>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</si>
  <si>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</si>
  <si>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</si>
  <si>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</si>
  <si>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</si>
  <si>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</si>
  <si>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</si>
  <si>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</si>
  <si>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</si>
  <si>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</si>
  <si>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</si>
  <si>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</si>
  <si>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</si>
  <si>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</si>
  <si>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</si>
  <si>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</si>
  <si>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</si>
  <si>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</si>
  <si>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</si>
  <si>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</si>
  <si>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</si>
  <si>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</si>
  <si>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</si>
  <si>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</si>
  <si>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</si>
  <si>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</si>
  <si>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</si>
  <si>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</si>
  <si>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</si>
  <si>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</si>
  <si>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</si>
  <si>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</si>
  <si>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</si>
  <si>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</si>
  <si>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</si>
  <si>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</si>
  <si>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</si>
  <si>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</si>
  <si>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</si>
  <si>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</si>
  <si>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</si>
  <si>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</si>
  <si>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</si>
  <si>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</si>
  <si>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</si>
  <si>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</si>
  <si>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</si>
  <si>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</si>
  <si>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</si>
  <si>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</si>
  <si>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</si>
  <si>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</si>
  <si>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</si>
  <si>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</si>
  <si>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</si>
  <si>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</si>
  <si>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</si>
  <si>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</si>
  <si>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</si>
  <si>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</si>
  <si>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</si>
  <si>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</si>
  <si>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</si>
  <si>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</si>
  <si>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</si>
  <si>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</si>
  <si>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</si>
  <si>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</si>
  <si>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</si>
  <si>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</si>
  <si>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</si>
  <si>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</si>
  <si>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</si>
  <si>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</si>
  <si>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</si>
  <si>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</si>
  <si>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</si>
  <si>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</si>
  <si>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</si>
  <si>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</si>
  <si>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</si>
  <si>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</si>
  <si>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</si>
  <si>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</si>
  <si>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</si>
  <si>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</si>
  <si>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</si>
  <si>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</si>
  <si>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</si>
  <si>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</si>
  <si>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</si>
  <si>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</si>
  <si>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</si>
  <si>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</si>
  <si>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</si>
  <si>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</si>
  <si>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</si>
  <si>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</si>
  <si>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</si>
  <si>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</si>
  <si>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</si>
  <si>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</si>
  <si>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</si>
  <si>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</si>
  <si>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</si>
  <si>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</si>
  <si>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</si>
  <si>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</si>
  <si>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</si>
  <si>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</si>
  <si>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</si>
  <si>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</si>
  <si>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</si>
  <si>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</si>
  <si>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</si>
  <si>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</si>
  <si>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</si>
  <si>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</si>
  <si>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</si>
  <si>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</si>
  <si>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</si>
  <si>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</si>
  <si>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</si>
  <si>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</si>
  <si>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</si>
  <si>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</si>
  <si>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</si>
  <si>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</si>
  <si>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</si>
  <si>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</si>
  <si>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</si>
  <si>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</si>
  <si>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</si>
  <si>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</si>
  <si>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</si>
  <si>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</si>
  <si>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</si>
  <si>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</si>
  <si>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</si>
  <si>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</si>
  <si>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</si>
  <si>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</si>
  <si>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</si>
  <si>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</si>
  <si>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</si>
  <si>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</si>
  <si>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</si>
  <si>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</si>
  <si>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</si>
  <si>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</si>
  <si>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</si>
  <si>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</si>
  <si>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</si>
  <si>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</si>
  <si>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</si>
  <si>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</si>
  <si>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</si>
  <si>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</si>
  <si>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</si>
  <si>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</si>
  <si>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</si>
  <si>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</si>
  <si>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</si>
  <si>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</si>
  <si>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</si>
  <si>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</si>
  <si>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</si>
  <si>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</si>
  <si>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</si>
  <si>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</si>
  <si>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</si>
  <si>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</si>
  <si>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</si>
  <si>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</si>
  <si>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</si>
  <si>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</si>
  <si>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</si>
  <si>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</si>
  <si>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</si>
  <si>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</si>
  <si>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</si>
  <si>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</si>
  <si>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</si>
  <si>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</si>
  <si>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</si>
  <si>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</si>
  <si>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</si>
  <si>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</si>
  <si>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</si>
  <si>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</si>
  <si>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</si>
  <si>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</si>
  <si>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</si>
  <si>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</si>
  <si>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</si>
  <si>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</si>
  <si>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</si>
  <si>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</si>
  <si>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</si>
  <si>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</si>
  <si>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</si>
  <si>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</si>
  <si>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</si>
  <si>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</si>
  <si>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</si>
  <si>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</si>
  <si>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</si>
  <si>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</si>
  <si>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</si>
  <si>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</si>
  <si>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</si>
  <si>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</si>
  <si>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</si>
  <si>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</si>
  <si>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</si>
  <si>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</si>
  <si>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</si>
  <si>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</si>
  <si>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</si>
  <si>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</si>
  <si>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</si>
  <si>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</si>
  <si>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</si>
  <si>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</si>
  <si>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</si>
  <si>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</si>
  <si>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</si>
  <si>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</si>
  <si>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</si>
  <si>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</si>
  <si>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</si>
  <si>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</si>
  <si>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</si>
  <si>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</si>
  <si>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</si>
  <si>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</si>
  <si>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</si>
  <si>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</si>
  <si>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</si>
  <si>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</si>
  <si>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</si>
  <si>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</si>
  <si>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</si>
  <si>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</si>
  <si>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</si>
  <si>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</si>
  <si>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</si>
  <si>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</si>
  <si>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</si>
  <si>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</si>
  <si>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</si>
  <si>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</si>
  <si>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</si>
  <si>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</si>
  <si>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</si>
  <si>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</si>
  <si>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</si>
  <si>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</si>
  <si>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</si>
  <si>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</si>
  <si>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</si>
  <si>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</si>
  <si>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</si>
  <si>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</si>
  <si>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</si>
  <si>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</si>
  <si>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</si>
  <si>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</si>
  <si>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</si>
  <si>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</si>
  <si>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</si>
  <si>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</si>
  <si>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</si>
  <si>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</si>
  <si>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</si>
  <si>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</si>
  <si>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</si>
  <si>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</si>
  <si>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</si>
  <si>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</si>
  <si>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</si>
  <si>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</si>
  <si>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</si>
  <si>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</si>
  <si>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</si>
  <si>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</si>
  <si>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</si>
  <si>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</si>
  <si>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</si>
  <si>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</si>
  <si>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</si>
  <si>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</si>
  <si>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</si>
  <si>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</si>
  <si>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</si>
  <si>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</si>
  <si>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</si>
  <si>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</si>
  <si>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</si>
  <si>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</si>
  <si>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</si>
  <si>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</si>
  <si>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</si>
  <si>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</si>
  <si>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</si>
  <si>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</si>
  <si>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</si>
  <si>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</si>
  <si>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</si>
  <si>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</si>
  <si>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</si>
  <si>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</si>
  <si>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</si>
  <si>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</si>
  <si>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</si>
  <si>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</si>
  <si>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</si>
  <si>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</si>
  <si>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</si>
  <si>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</si>
  <si>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</si>
  <si>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</si>
  <si>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</si>
  <si>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</si>
  <si>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</si>
  <si>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</si>
  <si>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</si>
  <si>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</si>
  <si>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</si>
  <si>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</si>
  <si>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</si>
  <si>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</si>
  <si>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</si>
  <si>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</si>
  <si>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</si>
  <si>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</si>
  <si>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</si>
  <si>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</si>
  <si>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</si>
  <si>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</si>
  <si>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</si>
  <si>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</si>
  <si>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</si>
  <si>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</si>
  <si>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</si>
  <si>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</si>
  <si>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</si>
  <si>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</si>
  <si>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</si>
  <si>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</si>
  <si>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</si>
  <si>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</si>
  <si>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</si>
  <si>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</si>
  <si>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</si>
  <si>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</si>
  <si>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</si>
  <si>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</si>
  <si>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</si>
  <si>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</si>
  <si>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</si>
  <si>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</si>
  <si>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</si>
  <si>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</si>
  <si>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</si>
  <si>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</si>
  <si>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</si>
  <si>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</si>
  <si>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</si>
  <si>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</si>
  <si>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</si>
  <si>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</si>
  <si>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</si>
  <si>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</si>
  <si>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</si>
  <si>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</si>
  <si>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</si>
  <si>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</si>
  <si>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</si>
  <si>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</si>
  <si>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</si>
  <si>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</si>
  <si>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</si>
  <si>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</si>
  <si>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</si>
  <si>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</si>
  <si>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</si>
  <si>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</si>
  <si>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</si>
  <si>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</si>
  <si>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</si>
  <si>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</si>
  <si>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</si>
  <si>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</si>
  <si>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</si>
  <si>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</si>
  <si>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</si>
  <si>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</si>
  <si>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</si>
  <si>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</si>
  <si>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</si>
  <si>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</si>
  <si>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</si>
  <si>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</si>
  <si>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</si>
  <si>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</si>
  <si>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</si>
  <si>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</si>
  <si>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</si>
  <si>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</si>
  <si>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</si>
  <si>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</si>
  <si>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</si>
  <si>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</si>
  <si>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</si>
  <si>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</si>
  <si>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</si>
  <si>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</si>
  <si>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</si>
  <si>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</si>
  <si>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</si>
  <si>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</si>
  <si>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</si>
  <si>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</si>
  <si>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</si>
  <si>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</si>
  <si>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</si>
  <si>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</si>
  <si>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</si>
  <si>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</si>
  <si>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</si>
  <si>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</si>
  <si>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</si>
  <si>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</si>
  <si>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</si>
  <si>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</si>
  <si>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</si>
  <si>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</si>
  <si>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</si>
  <si>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</si>
  <si>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</si>
  <si>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</si>
  <si>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</si>
  <si>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</si>
  <si>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</si>
  <si>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</si>
  <si>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</si>
  <si>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</si>
  <si>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</si>
  <si>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</si>
  <si>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</si>
  <si>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</si>
  <si>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</si>
  <si>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</si>
  <si>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</si>
  <si>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</si>
  <si>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</si>
  <si>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</si>
  <si>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</si>
  <si>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</si>
  <si>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</si>
  <si>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</si>
  <si>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</si>
  <si>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</si>
  <si>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</si>
  <si>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</si>
  <si>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</si>
  <si>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</si>
  <si>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</si>
  <si>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</si>
  <si>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</si>
  <si>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</si>
  <si>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</si>
  <si>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</si>
  <si>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</si>
  <si>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</si>
  <si>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</si>
  <si>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</si>
  <si>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</si>
  <si>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</si>
  <si>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</si>
  <si>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</si>
  <si>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</si>
  <si>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</si>
  <si>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</si>
  <si>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</si>
  <si>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</si>
  <si>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</si>
  <si>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</si>
  <si>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</si>
  <si>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</si>
  <si>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</si>
  <si>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</si>
  <si>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</si>
  <si>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</si>
  <si>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</si>
  <si>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</si>
  <si>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</si>
  <si>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</si>
  <si>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</si>
  <si>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</si>
  <si>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</si>
  <si>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</si>
  <si>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</si>
  <si>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</si>
  <si>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</si>
  <si>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</si>
  <si>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</si>
  <si>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</si>
  <si>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</si>
  <si>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</si>
  <si>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</si>
  <si>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</si>
  <si>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</si>
  <si>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</si>
  <si>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</si>
  <si>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</si>
  <si>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</si>
  <si>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</si>
  <si>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</si>
  <si>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</si>
  <si>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</si>
  <si>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</si>
  <si>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</si>
  <si>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</si>
  <si>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</si>
  <si>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</si>
  <si>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</si>
  <si>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</si>
  <si>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</si>
  <si>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</si>
  <si>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</si>
  <si>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</si>
  <si>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</si>
  <si>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</si>
  <si>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</si>
  <si>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</si>
  <si>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</si>
  <si>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</si>
  <si>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</si>
  <si>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</si>
  <si>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</si>
  <si>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</si>
  <si>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</si>
  <si>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</si>
  <si>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</si>
  <si>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</si>
  <si>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</si>
  <si>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</si>
  <si>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</si>
  <si>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</si>
  <si>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</si>
  <si>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</si>
  <si>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</si>
  <si>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</si>
  <si>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</si>
  <si>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</si>
  <si>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</si>
  <si>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</si>
  <si>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</si>
  <si>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</si>
  <si>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</si>
  <si>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</si>
  <si>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</si>
  <si>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</si>
  <si>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</si>
  <si>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</si>
  <si>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</si>
  <si>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</si>
  <si>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</si>
  <si>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</si>
  <si>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</si>
  <si>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</si>
  <si>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</si>
  <si>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</si>
  <si>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</si>
  <si>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</si>
  <si>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</si>
  <si>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</si>
  <si>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</si>
  <si>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</si>
  <si>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</si>
  <si>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</si>
  <si>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</si>
  <si>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</si>
  <si>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</si>
  <si>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</si>
  <si>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</si>
  <si>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</si>
  <si>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</si>
  <si>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</si>
  <si>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</si>
  <si>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</si>
  <si>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</si>
  <si>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</si>
  <si>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</si>
  <si>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</si>
  <si>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</si>
  <si>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</si>
  <si>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</si>
  <si>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</si>
  <si>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</si>
  <si>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</si>
  <si>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</si>
  <si>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</si>
  <si>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</si>
  <si>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</si>
  <si>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</si>
  <si>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</si>
  <si>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</si>
  <si>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</si>
  <si>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</si>
  <si>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</si>
  <si>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</si>
  <si>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</si>
  <si>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</si>
  <si>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</si>
  <si>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</si>
  <si>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</si>
  <si>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</si>
  <si>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</si>
  <si>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</si>
  <si>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</si>
  <si>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</si>
  <si>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</si>
  <si>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</si>
  <si>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</si>
  <si>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</si>
  <si>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</si>
  <si>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</si>
  <si>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</si>
  <si>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</si>
  <si>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</si>
  <si>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</si>
  <si>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</si>
  <si>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</si>
  <si>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</si>
  <si>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</si>
  <si>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</si>
  <si>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</si>
  <si>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</si>
  <si>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</si>
  <si>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</si>
  <si>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</si>
  <si>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</si>
  <si>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</si>
  <si>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</si>
  <si>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</si>
  <si>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</si>
  <si>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</si>
  <si>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</si>
  <si>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</si>
  <si>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</si>
  <si>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</si>
  <si>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</si>
  <si>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</si>
  <si>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</si>
  <si>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</si>
  <si>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</si>
  <si>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</si>
  <si>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</si>
  <si>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</si>
  <si>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</si>
  <si>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</si>
  <si>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</si>
  <si>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</si>
  <si>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</si>
  <si>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</si>
  <si>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</si>
  <si>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</si>
  <si>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</si>
  <si>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</si>
  <si>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</si>
  <si>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</si>
  <si>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</si>
  <si>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</si>
  <si>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</si>
  <si>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</si>
  <si>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</si>
  <si>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</si>
  <si>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</si>
  <si>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</si>
  <si>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</si>
  <si>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</si>
  <si>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</si>
  <si>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</si>
  <si>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</si>
  <si>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</si>
  <si>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</si>
  <si>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</si>
  <si>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</si>
  <si>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</si>
  <si>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</si>
  <si>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</si>
  <si>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</si>
  <si>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</si>
  <si>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</si>
  <si>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</si>
  <si>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</si>
  <si>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</si>
  <si>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</si>
  <si>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</si>
  <si>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</si>
  <si>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</si>
  <si>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</si>
  <si>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</si>
  <si>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</si>
  <si>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</si>
  <si>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</si>
  <si>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</si>
  <si>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</si>
  <si>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</si>
  <si>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</si>
  <si>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</si>
  <si>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</si>
  <si>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</si>
  <si>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</si>
  <si>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</si>
  <si>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</si>
  <si>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</si>
  <si>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</si>
  <si>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</si>
  <si>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</si>
  <si>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</si>
  <si>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</si>
  <si>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</si>
  <si>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</si>
  <si>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</si>
  <si>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</si>
  <si>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</si>
  <si>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</si>
  <si>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</si>
  <si>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</si>
  <si>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</si>
  <si>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</si>
  <si>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</si>
  <si>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</si>
  <si>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</si>
  <si>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</si>
  <si>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</si>
  <si>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</si>
  <si>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</si>
  <si>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</si>
  <si>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</si>
  <si>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</si>
  <si>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</si>
  <si>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</si>
  <si>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</si>
  <si>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</si>
  <si>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</si>
  <si>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</si>
  <si>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</si>
  <si>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</si>
  <si>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</si>
  <si>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</si>
  <si>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</si>
  <si>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</si>
  <si>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</si>
  <si>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</si>
  <si>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</si>
  <si>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</si>
  <si>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</si>
  <si>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</si>
  <si>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</si>
  <si>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</si>
  <si>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</si>
  <si>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</si>
  <si>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</si>
  <si>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</si>
  <si>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</si>
  <si>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</si>
  <si>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</si>
  <si>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</si>
  <si>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</si>
  <si>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</si>
  <si>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</si>
  <si>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</si>
  <si>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</si>
  <si>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</si>
  <si>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</si>
  <si>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</si>
  <si>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</si>
  <si>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</si>
  <si>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</si>
  <si>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</si>
  <si>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</si>
  <si>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</si>
  <si>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</si>
  <si>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</si>
  <si>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</si>
  <si>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</si>
  <si>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</si>
  <si>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</si>
  <si>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</si>
  <si>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</si>
  <si>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</si>
  <si>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</si>
  <si>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</si>
  <si>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</si>
  <si>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</si>
  <si>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</si>
  <si>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</si>
  <si>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</si>
  <si>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</si>
  <si>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</si>
  <si>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</si>
  <si>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</si>
  <si>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</si>
  <si>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</si>
  <si>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</si>
  <si>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</si>
  <si>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</si>
  <si>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</si>
  <si>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</si>
  <si>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</si>
  <si>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</si>
  <si>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</si>
  <si>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</si>
  <si>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</si>
  <si>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</si>
  <si>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</si>
  <si>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</si>
  <si>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</si>
  <si>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</si>
  <si>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</si>
  <si>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</si>
  <si>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</si>
  <si>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</si>
  <si>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</si>
  <si>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</si>
  <si>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</si>
  <si>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</si>
  <si>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</si>
  <si>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</si>
  <si>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</si>
  <si>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</si>
  <si>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</si>
  <si>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</si>
  <si>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</si>
  <si>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</si>
  <si>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</si>
  <si>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</si>
  <si>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</si>
  <si>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</si>
  <si>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</si>
  <si>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</si>
  <si>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</si>
  <si>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</si>
  <si>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</si>
  <si>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</si>
  <si>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</si>
  <si>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</si>
  <si>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</si>
  <si>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</si>
  <si>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</si>
  <si>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</si>
  <si>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</si>
  <si>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</si>
  <si>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</si>
  <si>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</si>
  <si>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</si>
  <si>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</si>
  <si>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</si>
  <si>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</si>
  <si>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</si>
  <si>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</si>
  <si>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</si>
  <si>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</si>
  <si>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</si>
  <si>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</si>
  <si>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</si>
  <si>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</si>
  <si>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</si>
  <si>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</si>
  <si>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</si>
  <si>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</si>
  <si>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</si>
  <si>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</si>
  <si>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</si>
  <si>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</si>
  <si>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</si>
  <si>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</si>
  <si>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</si>
  <si>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</si>
  <si>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</si>
  <si>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</si>
  <si>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</si>
  <si>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</si>
  <si>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</si>
  <si>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</si>
  <si>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</si>
  <si>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</si>
  <si>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</si>
  <si>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</si>
  <si>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</si>
  <si>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</si>
  <si>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</si>
  <si>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</si>
  <si>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</si>
  <si>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</si>
  <si>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</si>
  <si>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</si>
  <si>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</si>
  <si>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</si>
  <si>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</si>
  <si>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</si>
  <si>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</si>
  <si>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</si>
  <si>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</si>
  <si>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</si>
  <si>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</si>
  <si>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</si>
  <si>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</si>
  <si>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</si>
  <si>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</si>
  <si>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</si>
  <si>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</si>
  <si>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</si>
  <si>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</si>
  <si>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</si>
  <si>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</si>
  <si>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</si>
  <si>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</si>
  <si>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</si>
  <si>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</si>
  <si>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</si>
  <si>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</si>
  <si>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</si>
  <si>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</si>
  <si>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</si>
  <si>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</si>
  <si>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</si>
  <si>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</si>
  <si>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</si>
  <si>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</si>
  <si>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</si>
  <si>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</si>
  <si>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</si>
  <si>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</si>
  <si>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</si>
  <si>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</si>
  <si>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</si>
  <si>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</si>
  <si>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</si>
  <si>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</si>
  <si>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</si>
  <si>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</si>
  <si>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</si>
  <si>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</si>
  <si>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</si>
  <si>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</si>
  <si>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</si>
  <si>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</si>
  <si>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</si>
  <si>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</si>
  <si>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</si>
  <si>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</si>
  <si>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</si>
  <si>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</si>
  <si>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</si>
  <si>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</si>
  <si>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</si>
  <si>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</si>
  <si>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</si>
  <si>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</si>
  <si>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</si>
  <si>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</si>
  <si>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</si>
  <si>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</si>
  <si>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</si>
  <si>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</si>
  <si>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</si>
  <si>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</si>
  <si>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</si>
  <si>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</si>
  <si>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</si>
  <si>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</si>
  <si>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</si>
  <si>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</si>
  <si>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</si>
  <si>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</si>
  <si>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</si>
  <si>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</si>
  <si>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</si>
  <si>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</si>
  <si>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</si>
  <si>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</si>
  <si>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</si>
  <si>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</si>
  <si>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</si>
  <si>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</si>
  <si>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</si>
  <si>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</si>
  <si>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</si>
  <si>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</si>
  <si>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</si>
  <si>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</si>
  <si>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</si>
  <si>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</si>
  <si>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</si>
  <si>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</si>
  <si>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</si>
  <si>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</si>
  <si>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</si>
  <si>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</si>
  <si>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</si>
  <si>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</si>
  <si>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</si>
  <si>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</si>
  <si>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</si>
  <si>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</si>
  <si>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</si>
  <si>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</si>
  <si>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</si>
  <si>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</si>
  <si>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</si>
  <si>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</si>
  <si>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</si>
  <si>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</si>
  <si>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</si>
  <si>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</si>
  <si>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</si>
  <si>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</si>
  <si>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</si>
  <si>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</si>
  <si>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</si>
  <si>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</si>
  <si>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</si>
  <si>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</si>
  <si>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</si>
  <si>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</si>
  <si>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</si>
  <si>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</si>
  <si>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</si>
  <si>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</si>
  <si>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</si>
  <si>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</si>
  <si>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</si>
  <si>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</si>
  <si>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</si>
  <si>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</si>
  <si>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</si>
  <si>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</si>
  <si>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</si>
  <si>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</si>
  <si>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</si>
  <si>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</si>
  <si>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</si>
  <si>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</si>
  <si>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</si>
  <si>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</si>
  <si>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</si>
  <si>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</si>
  <si>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</si>
  <si>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</si>
  <si>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</si>
  <si>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</si>
  <si>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</si>
  <si>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</si>
  <si>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</si>
  <si>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</si>
  <si>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</si>
  <si>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</si>
  <si>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</si>
  <si>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</si>
  <si>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</si>
  <si>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</si>
  <si>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</si>
  <si>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</si>
  <si>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</si>
  <si>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</si>
  <si>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</si>
  <si>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</si>
  <si>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</si>
  <si>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</si>
  <si>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</si>
  <si>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</si>
  <si>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</si>
  <si>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</si>
  <si>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</si>
  <si>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</si>
  <si>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</si>
  <si>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</si>
  <si>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</si>
  <si>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</si>
  <si>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</si>
  <si>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</si>
  <si>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</si>
  <si>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</si>
  <si>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</si>
  <si>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</si>
  <si>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</si>
  <si>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</si>
  <si>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</si>
  <si>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</si>
  <si>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</si>
  <si>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</si>
  <si>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</si>
  <si>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</si>
  <si>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</si>
  <si>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</si>
  <si>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</si>
  <si>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</si>
  <si>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</si>
  <si>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</si>
  <si>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</si>
  <si>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</si>
  <si>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</si>
  <si>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</si>
  <si>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</si>
  <si>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</si>
  <si>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</si>
  <si>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</si>
  <si>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</si>
  <si>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</si>
  <si>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</si>
  <si>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</si>
  <si>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</si>
  <si>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</si>
  <si>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</si>
  <si>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</si>
  <si>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</si>
  <si>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</si>
  <si>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</si>
  <si>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</si>
  <si>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</si>
  <si>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</si>
  <si>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</si>
  <si>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</si>
  <si>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</si>
  <si>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</si>
  <si>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</si>
  <si>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</si>
  <si>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</si>
  <si>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</si>
  <si>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</si>
  <si>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</si>
  <si>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</si>
  <si>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</si>
  <si>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</si>
  <si>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</si>
  <si>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</si>
  <si>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</si>
  <si>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</si>
  <si>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</si>
  <si>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</si>
  <si>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</si>
  <si>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</si>
  <si>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</si>
  <si>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</si>
  <si>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</si>
  <si>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</si>
  <si>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</si>
  <si>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</si>
  <si>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</si>
  <si>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</si>
  <si>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</si>
  <si>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</si>
  <si>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</si>
  <si>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</si>
  <si>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</si>
  <si>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</si>
  <si>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</si>
  <si>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</si>
  <si>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</si>
  <si>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</si>
  <si>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</si>
  <si>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</si>
  <si>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</si>
  <si>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</si>
  <si>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</si>
  <si>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</si>
  <si>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</si>
  <si>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</si>
  <si>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</si>
  <si>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</si>
  <si>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</si>
  <si>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</si>
  <si>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</si>
  <si>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</si>
  <si>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</si>
  <si>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</si>
  <si>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</si>
  <si>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</si>
  <si>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</si>
  <si>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</si>
  <si>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</si>
  <si>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</si>
  <si>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</si>
  <si>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</si>
  <si>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</si>
  <si>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</si>
  <si>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</si>
  <si>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</si>
  <si>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</si>
  <si>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</si>
  <si>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</si>
  <si>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</si>
  <si>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</si>
  <si>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</si>
  <si>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</si>
  <si>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</si>
  <si>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</si>
  <si>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</si>
  <si>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</si>
  <si>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</si>
  <si>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</si>
  <si>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</si>
  <si>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</si>
  <si>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</si>
  <si>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</si>
  <si>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</si>
  <si>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</si>
  <si>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</si>
  <si>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</si>
  <si>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</si>
  <si>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</si>
  <si>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</si>
  <si>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</si>
  <si>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</si>
  <si>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</si>
  <si>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</si>
  <si>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</si>
  <si>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</si>
  <si>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</si>
  <si>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</si>
  <si>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</si>
  <si>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</si>
  <si>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</si>
  <si>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</si>
  <si>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</si>
  <si>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</si>
  <si>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</si>
  <si>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</si>
  <si>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</si>
  <si>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</si>
  <si>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</si>
  <si>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</si>
  <si>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</si>
  <si>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</si>
  <si>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</si>
  <si>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</si>
  <si>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</si>
  <si>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</si>
  <si>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</si>
  <si>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</si>
  <si>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</si>
  <si>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</si>
  <si>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</si>
  <si>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</si>
  <si>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</si>
  <si>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</si>
  <si>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</si>
  <si>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</si>
  <si>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</si>
  <si>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</si>
  <si>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</si>
  <si>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</si>
  <si>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</si>
  <si>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</si>
  <si>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</si>
  <si>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</si>
  <si>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</si>
  <si>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</si>
  <si>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</si>
  <si>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</si>
  <si>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</si>
  <si>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</si>
  <si>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</si>
  <si>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</si>
  <si>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</si>
  <si>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</si>
  <si>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</si>
  <si>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</si>
  <si>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</si>
  <si>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</si>
  <si>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</si>
  <si>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</si>
  <si>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</si>
  <si>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</si>
  <si>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</si>
  <si>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</si>
  <si>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</si>
  <si>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</si>
  <si>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</si>
  <si>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</si>
  <si>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</si>
  <si>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</si>
  <si>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</si>
  <si>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</si>
  <si>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</si>
  <si>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</si>
  <si>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</si>
  <si>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</si>
  <si>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</si>
  <si>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</si>
  <si>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</si>
  <si>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</si>
  <si>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</si>
  <si>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</si>
  <si>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</si>
  <si>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</si>
  <si>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</si>
  <si>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</si>
  <si>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</si>
  <si>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</si>
  <si>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</si>
  <si>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</si>
  <si>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</si>
  <si>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</si>
  <si>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</si>
  <si>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</si>
  <si>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</si>
  <si>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</si>
  <si>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</si>
  <si>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</si>
  <si>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</si>
  <si>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</si>
  <si>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</si>
  <si>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</si>
  <si>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</si>
  <si>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</si>
  <si>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</si>
  <si>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</si>
  <si>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</si>
  <si>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</si>
  <si>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</si>
  <si>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</si>
  <si>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</si>
  <si>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</si>
  <si>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</si>
  <si>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</si>
  <si>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</si>
  <si>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</si>
  <si>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</si>
  <si>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</si>
  <si>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</si>
  <si>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</si>
  <si>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</si>
  <si>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</si>
  <si>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</si>
  <si>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</si>
  <si>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</si>
  <si>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</si>
  <si>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</si>
  <si>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</si>
  <si>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</si>
  <si>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</si>
  <si>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</si>
  <si>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</si>
  <si>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</si>
  <si>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</si>
  <si>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</si>
  <si>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</si>
  <si>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</si>
  <si>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</si>
  <si>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</si>
  <si>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</si>
  <si>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</si>
  <si>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</si>
  <si>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</si>
  <si>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</si>
  <si>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</si>
  <si>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</si>
  <si>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</si>
  <si>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</si>
  <si>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</si>
  <si>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</si>
  <si>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</si>
  <si>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</si>
  <si>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</si>
  <si>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</si>
  <si>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</si>
  <si>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</si>
  <si>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</si>
  <si>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</si>
  <si>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</si>
  <si>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</si>
  <si>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</si>
  <si>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</si>
  <si>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</si>
  <si>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</si>
  <si>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</si>
  <si>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</si>
  <si>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</si>
  <si>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</si>
  <si>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</si>
  <si>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</si>
  <si>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</si>
  <si>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</si>
  <si>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</si>
  <si>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</si>
  <si>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</si>
  <si>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</si>
  <si>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</si>
  <si>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</si>
  <si>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</si>
  <si>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</si>
  <si>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</si>
  <si>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</si>
  <si>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</si>
  <si>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</si>
  <si>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</si>
  <si>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</si>
  <si>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</si>
  <si>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</si>
  <si>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</si>
  <si>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</si>
  <si>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</si>
  <si>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</si>
  <si>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</si>
  <si>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</si>
  <si>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</si>
  <si>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</si>
  <si>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</si>
  <si>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</si>
  <si>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</si>
  <si>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</si>
  <si>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</si>
  <si>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</si>
  <si>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</si>
  <si>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</si>
  <si>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</si>
  <si>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</si>
  <si>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</si>
  <si>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</si>
  <si>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</si>
  <si>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</si>
  <si>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</si>
  <si>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</si>
  <si>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</si>
  <si>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</si>
  <si>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</si>
  <si>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</si>
  <si>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</si>
  <si>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</si>
  <si>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</si>
  <si>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</si>
  <si>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</si>
  <si>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</si>
  <si>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</si>
  <si>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</si>
  <si>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</si>
  <si>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</si>
  <si>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</si>
  <si>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</si>
  <si>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</si>
  <si>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</si>
  <si>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</si>
  <si>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</si>
  <si>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</si>
  <si>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</si>
  <si>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</si>
  <si>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</si>
  <si>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</si>
  <si>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</si>
  <si>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</si>
  <si>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</si>
  <si>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</si>
  <si>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</si>
  <si>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</si>
  <si>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</si>
  <si>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</si>
  <si>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</si>
  <si>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</si>
  <si>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</si>
  <si>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</si>
  <si>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</si>
  <si>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</si>
  <si>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</si>
  <si>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</si>
  <si>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</si>
  <si>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</si>
  <si>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</si>
  <si>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</si>
  <si>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</si>
  <si>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</si>
  <si>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</si>
  <si>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</si>
  <si>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</si>
  <si>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</si>
  <si>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</si>
  <si>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</si>
  <si>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</si>
  <si>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</si>
  <si>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</si>
  <si>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</si>
  <si>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</si>
  <si>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</si>
  <si>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</si>
  <si>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</si>
  <si>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</si>
  <si>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</si>
  <si>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</si>
  <si>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</si>
  <si>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</si>
  <si>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</si>
  <si>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</si>
  <si>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</si>
  <si>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</si>
  <si>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</si>
  <si>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</si>
  <si>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</si>
  <si>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</si>
  <si>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</si>
  <si>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</si>
  <si>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</si>
  <si>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</si>
  <si>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</si>
  <si>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</si>
  <si>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</si>
  <si>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</si>
  <si>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</si>
  <si>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</si>
  <si>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</si>
  <si>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</si>
  <si>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</si>
  <si>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</si>
  <si>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</si>
  <si>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</si>
  <si>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</si>
  <si>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</si>
  <si>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</si>
  <si>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</si>
  <si>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</si>
  <si>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</si>
  <si>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</si>
  <si>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</si>
  <si>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</si>
  <si>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</si>
  <si>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</si>
  <si>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</si>
  <si>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</si>
  <si>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</si>
  <si>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</si>
  <si>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</si>
  <si>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</si>
  <si>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</si>
  <si>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</si>
  <si>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</si>
  <si>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</si>
  <si>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</si>
  <si>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</si>
  <si>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</si>
  <si>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</si>
  <si>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</si>
  <si>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</si>
  <si>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</si>
  <si>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</si>
  <si>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</si>
  <si>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</si>
  <si>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</si>
  <si>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</si>
  <si>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</si>
  <si>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</si>
  <si>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</si>
  <si>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</si>
  <si>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</si>
  <si>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</si>
  <si>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</si>
  <si>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</si>
  <si>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</si>
  <si>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</si>
  <si>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</si>
  <si>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</si>
  <si>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</si>
  <si>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</si>
  <si>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</si>
  <si>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</si>
  <si>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</si>
  <si>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</si>
  <si>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</si>
  <si>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</si>
  <si>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</si>
  <si>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</si>
  <si>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</si>
  <si>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</si>
  <si>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</si>
  <si>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</si>
  <si>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</si>
  <si>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</si>
  <si>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</si>
  <si>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</si>
  <si>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</si>
  <si>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</si>
  <si>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</si>
  <si>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</si>
  <si>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</si>
  <si>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</si>
  <si>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</si>
  <si>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</si>
  <si>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</si>
  <si>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</si>
  <si>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</si>
  <si>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</si>
  <si>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</si>
  <si>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</si>
  <si>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</si>
  <si>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</si>
  <si>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</si>
  <si>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</si>
  <si>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</si>
  <si>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</si>
  <si>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</si>
  <si>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</si>
  <si>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</si>
  <si>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</si>
  <si>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</si>
  <si>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</si>
  <si>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</si>
  <si>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</si>
  <si>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</si>
  <si>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</si>
  <si>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</si>
  <si>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</si>
  <si>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</si>
  <si>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</si>
  <si>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</si>
  <si>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</si>
  <si>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</si>
  <si>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</si>
  <si>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</si>
  <si>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</si>
  <si>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</si>
  <si>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</si>
  <si>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</si>
  <si>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</si>
  <si>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</si>
  <si>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</si>
  <si>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</si>
  <si>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</si>
  <si>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</si>
  <si>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</si>
  <si>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</si>
  <si>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</si>
  <si>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</si>
  <si>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</si>
  <si>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</si>
  <si>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</si>
  <si>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</si>
  <si>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</si>
  <si>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</si>
  <si>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</si>
  <si>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</si>
  <si>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</si>
  <si>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</si>
  <si>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</si>
  <si>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</si>
  <si>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</si>
  <si>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</si>
  <si>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</si>
  <si>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</si>
  <si>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</si>
  <si>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</si>
  <si>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</si>
  <si>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</si>
  <si>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</si>
  <si>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</si>
  <si>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</si>
  <si>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</si>
  <si>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</si>
  <si>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</si>
  <si>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</si>
  <si>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</si>
  <si>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</si>
  <si>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</si>
  <si>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</si>
  <si>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</si>
  <si>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</si>
  <si>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</si>
  <si>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</si>
  <si>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</si>
  <si>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</si>
  <si>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</si>
  <si>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</si>
  <si>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</si>
  <si>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</si>
  <si>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</si>
  <si>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</si>
  <si>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</si>
  <si>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</si>
  <si>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</si>
  <si>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</si>
  <si>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</si>
  <si>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</si>
  <si>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</si>
  <si>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</si>
  <si>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</si>
  <si>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</si>
  <si>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</si>
  <si>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</si>
  <si>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</si>
  <si>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</si>
  <si>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</si>
  <si>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</si>
  <si>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</si>
  <si>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</si>
  <si>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</si>
  <si>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</si>
  <si>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</si>
  <si>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</si>
  <si>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</si>
  <si>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</si>
  <si>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</si>
  <si>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</si>
  <si>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</si>
  <si>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</si>
  <si>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</si>
  <si>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</si>
  <si>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</si>
  <si>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</si>
  <si>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</si>
  <si>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</si>
  <si>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</si>
  <si>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</si>
  <si>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</si>
  <si>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</si>
  <si>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</si>
  <si>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</si>
  <si>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</si>
  <si>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</si>
  <si>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</si>
  <si>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</si>
  <si>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</si>
  <si>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</si>
  <si>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</si>
  <si>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</si>
  <si>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</si>
  <si>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</si>
  <si>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</si>
  <si>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</si>
  <si>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</si>
  <si>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</si>
  <si>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</si>
  <si>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</si>
  <si>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</si>
  <si>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</si>
  <si>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</si>
  <si>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</si>
  <si>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</si>
  <si>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</si>
  <si>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</si>
  <si>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</si>
  <si>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</si>
  <si>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</si>
  <si>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</si>
  <si>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</si>
  <si>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</si>
  <si>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Colton Plessman</t>
  </si>
  <si>
    <t>971-334-0446</t>
  </si>
  <si>
    <t>colton.plessman@jll.com</t>
  </si>
  <si>
    <t xml:space="preserve">key code:  5826  </t>
  </si>
  <si>
    <t>7200 Northwest Pike Rd</t>
  </si>
  <si>
    <t>Yamhill, OR  97148-8238</t>
  </si>
  <si>
    <t>Chapel</t>
  </si>
  <si>
    <t>sks</t>
  </si>
  <si>
    <t>Chapel door</t>
  </si>
  <si>
    <t>sash</t>
  </si>
  <si>
    <t>1 1/2" T&amp;B</t>
  </si>
  <si>
    <t>sks or spring</t>
  </si>
  <si>
    <t xml:space="preserve">sks  </t>
  </si>
  <si>
    <t>Chapel R</t>
  </si>
  <si>
    <t>Chapel L</t>
  </si>
  <si>
    <t>Travis Bradshaw</t>
  </si>
  <si>
    <t>XX</t>
  </si>
  <si>
    <t>per Joe J site measure</t>
  </si>
  <si>
    <t>2 pair &amp; 4 panels</t>
  </si>
  <si>
    <t>6 SKS rods</t>
  </si>
  <si>
    <t>5th Avenue lined w/Flameguard</t>
  </si>
  <si>
    <t>Chapel Door</t>
  </si>
  <si>
    <t>1 door panel</t>
  </si>
  <si>
    <t>2 sash</t>
  </si>
  <si>
    <t>travis@coltoninc.com</t>
  </si>
  <si>
    <t xml:space="preserve">         Yamhill OR-chapel  WO#J5135826-00333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</si>
</sst>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colton.plessman@jl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4"/>
  <sheetViews>
    <sheetView showGridLines="0" view="pageBreakPreview" topLeftCell="A14" zoomScaleNormal="100" zoomScaleSheetLayoutView="100" workbookViewId="0">
      <selection activeCell="G50" sqref="G50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34.109375" customWidth="1"/>
    <col min="9" max="9" width="0.44140625" customWidth="1"/>
    <col min="10" max="10" width="0.6640625" style="2" customWidth="1"/>
  </cols>
  <sheetData>
    <row r="8" spans="1:11">
      <c r="A8" s="16"/>
    </row>
    <row r="9" spans="1:11" ht="36.6" customHeight="1">
      <c r="D9" s="265" t="s">
        <v>92</v>
      </c>
    </row>
    <row r="10" spans="1:11" ht="11.1" customHeight="1">
      <c r="D10" s="17"/>
    </row>
    <row r="11" spans="1:11" s="267" customFormat="1" ht="13.8">
      <c r="A11" s="283" t="s">
        <v>3</v>
      </c>
      <c r="B11" s="284">
        <v>45646</v>
      </c>
      <c r="C11" s="285"/>
      <c r="D11" s="285"/>
      <c r="E11" s="285"/>
      <c r="F11" s="285"/>
      <c r="G11" s="286"/>
      <c r="H11" s="285"/>
      <c r="I11" s="285"/>
      <c r="J11" s="285"/>
    </row>
    <row r="12" spans="1:11" s="267" customFormat="1" ht="13.8">
      <c r="A12" s="283"/>
      <c r="B12" s="285"/>
      <c r="C12" s="285"/>
      <c r="D12" s="285"/>
      <c r="E12" s="268"/>
      <c r="F12" s="285"/>
      <c r="G12" s="286"/>
      <c r="H12" s="285"/>
      <c r="I12" s="285"/>
      <c r="J12" s="285"/>
    </row>
    <row r="13" spans="1:11" ht="13.65" customHeight="1">
      <c r="A13" s="287" t="s">
        <v>96</v>
      </c>
      <c r="B13" s="298" t="str">
        <f>Worksheet!D3</f>
        <v>JLL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4.25" customHeight="1">
      <c r="A14" s="266" t="s">
        <v>2</v>
      </c>
      <c r="B14" s="299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8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9" t="str">
        <f>Worksheet!D6</f>
        <v>Colton Plessman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105</v>
      </c>
      <c r="B17" s="266" t="str">
        <f>Worksheet!J7</f>
        <v>colton.plessman@jll.com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99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103</v>
      </c>
      <c r="B19" s="238" t="str">
        <f>Worksheet!J6</f>
        <v>971-334-0446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18" customHeight="1">
      <c r="A22" s="289" t="s">
        <v>2519</v>
      </c>
      <c r="B22" s="290" t="str">
        <f>Worksheet!W4</f>
        <v xml:space="preserve">         Yamhill OR-chapel  WO#J5135826-00333</v>
      </c>
      <c r="C22" s="290"/>
      <c r="D22" s="290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 ht="13.2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2"/>
    </row>
    <row r="27" spans="1:11" ht="13.2">
      <c r="A27" s="238"/>
      <c r="B27" s="240" t="s">
        <v>104</v>
      </c>
      <c r="C27" s="240"/>
      <c r="D27" s="291" t="s">
        <v>98</v>
      </c>
      <c r="E27" s="291"/>
      <c r="F27" s="291" t="s">
        <v>11</v>
      </c>
      <c r="G27" s="291"/>
      <c r="H27" s="291" t="s">
        <v>12</v>
      </c>
      <c r="I27" s="291"/>
      <c r="J27" s="282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2"/>
      <c r="K29" s="2"/>
    </row>
    <row r="30" spans="1:11" ht="13.2">
      <c r="A30" s="238"/>
      <c r="B30" s="238" t="s">
        <v>2602</v>
      </c>
      <c r="C30" s="238"/>
      <c r="D30" s="239" t="s">
        <v>2614</v>
      </c>
      <c r="E30" s="239"/>
      <c r="F30" s="239" t="s">
        <v>2615</v>
      </c>
      <c r="G30" s="239"/>
      <c r="H30" s="239" t="s">
        <v>2616</v>
      </c>
      <c r="I30" s="239"/>
      <c r="J30" s="282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 ht="13.2">
      <c r="A32" s="238"/>
      <c r="B32" s="238" t="s">
        <v>2617</v>
      </c>
      <c r="C32" s="238"/>
      <c r="D32" s="239" t="s">
        <v>2618</v>
      </c>
      <c r="E32" s="239"/>
      <c r="F32" s="239" t="s">
        <v>2619</v>
      </c>
      <c r="G32" s="239"/>
      <c r="H32" s="239" t="s">
        <v>2616</v>
      </c>
      <c r="I32" s="239"/>
      <c r="J32" s="282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39"/>
      <c r="I35" s="239"/>
      <c r="J35" s="282"/>
      <c r="K35" s="2"/>
    </row>
    <row r="36" spans="1:11" ht="13.2">
      <c r="A36" s="238"/>
      <c r="B36" s="238"/>
      <c r="C36" s="238"/>
      <c r="D36" s="239"/>
      <c r="E36" s="239"/>
      <c r="F36" s="239"/>
      <c r="G36" s="239"/>
      <c r="H36" s="239"/>
      <c r="I36" s="239"/>
      <c r="J36" s="282"/>
      <c r="K36" s="2"/>
    </row>
    <row r="37" spans="1:11" ht="13.2">
      <c r="A37" s="238"/>
      <c r="B37" s="238"/>
      <c r="C37" s="238"/>
      <c r="D37" s="239"/>
      <c r="E37" s="239"/>
      <c r="F37" s="239"/>
      <c r="G37" s="239"/>
      <c r="H37" s="292"/>
      <c r="I37" s="239"/>
      <c r="J37" s="282"/>
      <c r="K37" s="2"/>
    </row>
    <row r="38" spans="1:11" ht="13.2">
      <c r="A38" s="269"/>
      <c r="B38" s="272" t="s">
        <v>2530</v>
      </c>
      <c r="C38" s="415" t="s">
        <v>2524</v>
      </c>
      <c r="D38" s="415"/>
      <c r="E38" s="415"/>
      <c r="F38" s="415"/>
      <c r="G38" s="269"/>
      <c r="H38" s="269"/>
      <c r="I38" s="271"/>
      <c r="J38" s="282"/>
      <c r="K38" s="2"/>
    </row>
    <row r="39" spans="1:11" s="267" customFormat="1" ht="12.75" customHeight="1">
      <c r="A39" s="269"/>
      <c r="B39" s="285"/>
      <c r="C39" s="285"/>
      <c r="D39" s="285"/>
      <c r="E39" s="285"/>
      <c r="F39" s="285"/>
      <c r="G39" s="270"/>
      <c r="H39" s="270"/>
      <c r="I39" s="271"/>
      <c r="J39" s="285"/>
    </row>
    <row r="40" spans="1:11" s="267" customFormat="1" ht="12.75" customHeight="1">
      <c r="A40" s="269"/>
      <c r="B40" s="269"/>
      <c r="C40" s="269"/>
      <c r="D40" s="269"/>
      <c r="E40" s="269"/>
      <c r="F40" s="270"/>
      <c r="G40" s="270"/>
      <c r="H40" s="270"/>
      <c r="I40" s="271"/>
      <c r="J40" s="285"/>
    </row>
    <row r="41" spans="1:11" s="267" customFormat="1" ht="15">
      <c r="A41" s="273"/>
      <c r="B41" s="270" t="s">
        <v>93</v>
      </c>
      <c r="C41" s="273"/>
      <c r="D41" s="297">
        <f>Worksheet!AR36</f>
        <v>5295.0033333333331</v>
      </c>
      <c r="E41" s="270"/>
      <c r="F41" s="293"/>
      <c r="G41" s="413"/>
      <c r="H41" s="270"/>
      <c r="I41" s="274"/>
      <c r="J41" s="285"/>
    </row>
    <row r="42" spans="1:11" s="267" customFormat="1" ht="15">
      <c r="A42" s="273"/>
      <c r="B42" s="270" t="s">
        <v>100</v>
      </c>
      <c r="C42" s="275">
        <f>[6]Worksheet!AC39</f>
        <v>0</v>
      </c>
      <c r="D42" s="276"/>
      <c r="E42" s="293"/>
      <c r="I42" s="274"/>
      <c r="J42" s="285"/>
    </row>
    <row r="43" spans="1:11" ht="15">
      <c r="A43" s="273"/>
      <c r="B43" s="273"/>
      <c r="C43" s="273"/>
      <c r="D43" s="277">
        <f>SUM(D41:D42)</f>
        <v>5295.0033333333331</v>
      </c>
      <c r="E43" s="270"/>
      <c r="F43" s="295"/>
      <c r="H43" s="270"/>
      <c r="I43" s="296"/>
      <c r="J43" s="282"/>
      <c r="K43" s="2"/>
    </row>
    <row r="44" spans="1:11" ht="15">
      <c r="A44" s="300" t="s">
        <v>2535</v>
      </c>
      <c r="B44" s="273"/>
      <c r="C44" s="273"/>
      <c r="D44" s="277"/>
      <c r="E44" s="270"/>
      <c r="F44" s="295"/>
      <c r="H44" s="270"/>
      <c r="I44" s="274"/>
      <c r="J44" s="282"/>
      <c r="K44" s="2"/>
    </row>
    <row r="45" spans="1:11" ht="13.2">
      <c r="A45" s="270"/>
      <c r="B45" s="270"/>
      <c r="C45" s="278"/>
      <c r="D45" s="270"/>
      <c r="E45" s="270"/>
      <c r="F45" s="270"/>
      <c r="G45" s="270"/>
      <c r="H45" s="270"/>
      <c r="I45" s="274"/>
      <c r="J45" s="282"/>
    </row>
    <row r="46" spans="1:11" ht="13.2">
      <c r="A46" s="270"/>
      <c r="B46" s="279" t="s">
        <v>2531</v>
      </c>
      <c r="C46" s="270"/>
      <c r="D46" s="270"/>
      <c r="E46" s="270"/>
      <c r="F46" s="270"/>
      <c r="G46" s="270"/>
      <c r="H46" s="270"/>
      <c r="I46" s="274"/>
      <c r="J46" s="282"/>
    </row>
    <row r="47" spans="1:11" ht="13.2">
      <c r="A47" s="270"/>
      <c r="B47" s="238" t="s">
        <v>2532</v>
      </c>
      <c r="C47" s="238"/>
      <c r="D47" s="238"/>
      <c r="E47" s="238"/>
      <c r="F47" s="238"/>
      <c r="G47" s="238"/>
      <c r="H47" s="238"/>
      <c r="I47" s="238"/>
      <c r="J47" s="282"/>
    </row>
    <row r="48" spans="1:11" ht="13.2">
      <c r="A48" s="270"/>
      <c r="B48" s="238" t="s">
        <v>2533</v>
      </c>
      <c r="C48" s="238"/>
      <c r="D48" s="238"/>
      <c r="E48" s="238"/>
      <c r="F48" s="238"/>
      <c r="G48" s="238"/>
      <c r="H48" s="238"/>
      <c r="I48" s="238"/>
      <c r="J48" s="282"/>
    </row>
    <row r="49" spans="1:10" ht="13.2">
      <c r="A49" s="270"/>
      <c r="B49" s="270"/>
      <c r="C49" s="270"/>
      <c r="D49" s="270"/>
      <c r="E49" s="270"/>
      <c r="F49" s="270"/>
      <c r="G49" s="270"/>
      <c r="H49" s="270"/>
      <c r="I49" s="274"/>
      <c r="J49" s="282"/>
    </row>
    <row r="50" spans="1:10" ht="13.2">
      <c r="A50" s="270"/>
      <c r="B50" s="270"/>
      <c r="C50" s="270"/>
      <c r="D50" s="270"/>
      <c r="E50" s="270"/>
      <c r="F50" s="270"/>
      <c r="G50" s="270"/>
      <c r="H50" s="270"/>
      <c r="I50" s="274"/>
      <c r="J50" s="282"/>
    </row>
    <row r="51" spans="1:10" ht="13.2">
      <c r="A51" s="270" t="s">
        <v>94</v>
      </c>
      <c r="B51" s="270"/>
      <c r="C51" s="270"/>
      <c r="D51" s="270"/>
      <c r="E51" s="238"/>
      <c r="F51" s="238"/>
      <c r="G51" s="238"/>
      <c r="H51" s="238"/>
      <c r="I51" s="270"/>
      <c r="J51" s="282"/>
    </row>
    <row r="52" spans="1:10" ht="13.2">
      <c r="A52" s="270"/>
      <c r="B52" s="270"/>
      <c r="C52" s="270"/>
      <c r="D52" s="270"/>
      <c r="E52" s="238"/>
      <c r="F52" s="238"/>
      <c r="G52" s="238"/>
      <c r="H52" s="238"/>
      <c r="I52" s="270"/>
      <c r="J52" s="282"/>
    </row>
    <row r="53" spans="1:10" ht="13.2">
      <c r="A53" s="280"/>
      <c r="B53" s="280"/>
      <c r="C53" s="280"/>
      <c r="D53" s="270"/>
      <c r="E53" s="238"/>
      <c r="F53" s="239"/>
      <c r="G53" s="239"/>
      <c r="H53" s="239"/>
      <c r="I53" s="239"/>
      <c r="J53" s="282"/>
    </row>
    <row r="54" spans="1:10" ht="13.2">
      <c r="A54" s="281"/>
      <c r="B54" s="270"/>
      <c r="C54" s="270"/>
      <c r="D54" s="270"/>
      <c r="E54" s="238"/>
      <c r="F54" s="238"/>
      <c r="G54" s="238"/>
      <c r="H54" s="238"/>
      <c r="I54" s="270"/>
      <c r="J54" s="282"/>
    </row>
    <row r="55" spans="1:10" ht="13.2">
      <c r="A55" s="270" t="s">
        <v>2611</v>
      </c>
      <c r="B55" s="270"/>
      <c r="C55" s="270"/>
      <c r="D55" s="270"/>
      <c r="E55" s="238"/>
      <c r="F55" s="238"/>
      <c r="G55" s="238"/>
      <c r="H55" s="238"/>
      <c r="I55" s="270"/>
      <c r="J55" s="282"/>
    </row>
    <row r="56" spans="1:10" ht="13.2">
      <c r="A56" s="270" t="s">
        <v>2521</v>
      </c>
      <c r="B56" s="270"/>
      <c r="C56" s="270"/>
      <c r="D56" s="270"/>
      <c r="E56" s="238"/>
      <c r="F56" s="270"/>
      <c r="G56" s="238"/>
      <c r="H56" s="238"/>
      <c r="I56" s="270"/>
      <c r="J56" s="282"/>
    </row>
    <row r="57" spans="1:10" ht="15.6" customHeight="1">
      <c r="A57" s="414" t="s">
        <v>2620</v>
      </c>
      <c r="B57" s="270"/>
      <c r="C57" s="270"/>
      <c r="D57" s="270"/>
      <c r="E57" s="238"/>
      <c r="F57" s="270"/>
      <c r="G57" s="270"/>
      <c r="H57" s="270"/>
      <c r="I57" s="274"/>
      <c r="J57" s="282"/>
    </row>
    <row r="58" spans="1:10" ht="13.2">
      <c r="A58" s="238"/>
      <c r="B58" s="238"/>
      <c r="C58" s="238"/>
      <c r="D58" s="238"/>
      <c r="E58" s="238"/>
      <c r="F58" s="238"/>
      <c r="G58" s="238"/>
      <c r="H58" s="238"/>
      <c r="I58" s="238"/>
      <c r="J58" s="282"/>
    </row>
    <row r="59" spans="1:10" ht="13.2">
      <c r="A59" s="238"/>
      <c r="B59" s="294"/>
      <c r="C59" s="238"/>
      <c r="D59" s="238"/>
      <c r="E59" s="238"/>
      <c r="F59" s="238"/>
      <c r="G59" s="238"/>
      <c r="H59" s="238"/>
      <c r="I59" s="238"/>
      <c r="J59" s="282"/>
    </row>
    <row r="60" spans="1:10" ht="13.2">
      <c r="A60" s="238"/>
      <c r="B60" s="294"/>
      <c r="C60" s="238"/>
      <c r="D60" s="238"/>
      <c r="E60" s="238"/>
      <c r="F60" s="238"/>
      <c r="G60" s="238"/>
      <c r="H60" s="238"/>
      <c r="I60" s="238"/>
      <c r="J60" s="282"/>
    </row>
    <row r="109" spans="2:2" ht="13.2">
      <c r="B109" s="270" t="s">
        <v>2524</v>
      </c>
    </row>
    <row r="110" spans="2:2" ht="13.2">
      <c r="B110" s="270" t="s">
        <v>2525</v>
      </c>
    </row>
    <row r="111" spans="2:2" ht="13.2">
      <c r="B111" s="270" t="s">
        <v>2526</v>
      </c>
    </row>
    <row r="112" spans="2:2" ht="13.2">
      <c r="B112" s="270" t="s">
        <v>2527</v>
      </c>
    </row>
    <row r="113" spans="2:2" ht="13.2">
      <c r="B113" s="270" t="s">
        <v>2528</v>
      </c>
    </row>
    <row r="114" spans="2:2" ht="13.2">
      <c r="B114" s="270" t="s">
        <v>2529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5" t="s">
        <v>2542</v>
      </c>
      <c r="Y1" s="306">
        <f>'Worksheet 2'!AR1</f>
        <v>33297</v>
      </c>
    </row>
    <row r="2" spans="1:26" s="53" customFormat="1">
      <c r="A2" s="198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0" t="s">
        <v>2522</v>
      </c>
      <c r="Q4" s="420"/>
      <c r="R4" s="417">
        <f>'Worksheet 2'!R4</f>
        <v>0</v>
      </c>
      <c r="S4" s="417"/>
      <c r="T4" s="417"/>
      <c r="U4" s="171"/>
      <c r="Y4" s="301" t="s">
        <v>2291</v>
      </c>
      <c r="Z4" s="211">
        <f>'Worksheet 2'!Z4</f>
        <v>2</v>
      </c>
    </row>
    <row r="5" spans="1:26" s="53" customFormat="1" ht="15.9" customHeight="1">
      <c r="A5" s="198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7"/>
      <c r="Q6" s="172"/>
      <c r="R6" s="318"/>
      <c r="S6" s="57"/>
      <c r="T6" s="171"/>
      <c r="U6" s="75"/>
      <c r="V6" s="69" t="s">
        <v>4</v>
      </c>
      <c r="W6" s="453" t="str">
        <f>'Worksheet 2'!W4</f>
        <v xml:space="preserve">         Yamhill OR-chapel  WO#J5135826-00333</v>
      </c>
      <c r="X6" s="453"/>
      <c r="Y6" s="319"/>
      <c r="Z6" s="66"/>
    </row>
    <row r="7" spans="1:26" s="53" customFormat="1" ht="15.75" customHeight="1">
      <c r="A7" s="198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2">
        <f>'Worksheet 2'!Q11</f>
        <v>0</v>
      </c>
      <c r="R11" s="250" t="str">
        <f>'Worksheet 2'!R11</f>
        <v xml:space="preserve"> </v>
      </c>
      <c r="S11" s="323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2">
        <f>'Worksheet 2'!Q12</f>
        <v>0</v>
      </c>
      <c r="R12" s="250" t="str">
        <f>'Worksheet 2'!R12</f>
        <v xml:space="preserve"> </v>
      </c>
      <c r="S12" s="323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2">
        <f>'Worksheet 2'!Q13</f>
        <v>0</v>
      </c>
      <c r="R13" s="250" t="str">
        <f>'Worksheet 2'!R13</f>
        <v xml:space="preserve"> </v>
      </c>
      <c r="S13" s="323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2">
        <f>'Worksheet 2'!Q14</f>
        <v>0</v>
      </c>
      <c r="R14" s="250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2">
        <f>'Worksheet 2'!Q15</f>
        <v>0</v>
      </c>
      <c r="R15" s="250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2">
        <f>'Worksheet 2'!Q16</f>
        <v>0</v>
      </c>
      <c r="R16" s="250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2">
        <f>'Worksheet 2'!Q17</f>
        <v>0</v>
      </c>
      <c r="R17" s="250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2">
        <f>'Worksheet 2'!Q18</f>
        <v>0</v>
      </c>
      <c r="R18" s="250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2">
        <f>'Worksheet 2'!Q19</f>
        <v>0</v>
      </c>
      <c r="R19" s="250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2">
        <f>'Worksheet 2'!Q20</f>
        <v>0</v>
      </c>
      <c r="R20" s="250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2">
        <f>'Worksheet 2'!Q21</f>
        <v>0</v>
      </c>
      <c r="R21" s="250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2">
        <f>'Worksheet 2'!Q22</f>
        <v>0</v>
      </c>
      <c r="R22" s="250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2">
        <f>'Worksheet 2'!Q23</f>
        <v>0</v>
      </c>
      <c r="R23" s="250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2">
        <f>'Worksheet 2'!Q24</f>
        <v>0</v>
      </c>
      <c r="R24" s="250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2">
        <f>'Worksheet 2'!Q25</f>
        <v>0</v>
      </c>
      <c r="R25" s="250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2">
        <f>'Worksheet 2'!Q26</f>
        <v>0</v>
      </c>
      <c r="R26" s="250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2">
        <f>'Worksheet 2'!Q27</f>
        <v>0</v>
      </c>
      <c r="R27" s="250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2">
        <f>'Worksheet 2'!Q28</f>
        <v>0</v>
      </c>
      <c r="R28" s="250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2">
        <f>'Worksheet 2'!Q29</f>
        <v>0</v>
      </c>
      <c r="R29" s="250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'Worksheet 2'!M30</f>
        <v>0</v>
      </c>
      <c r="N30" s="326">
        <f t="shared" si="4"/>
        <v>0</v>
      </c>
      <c r="O30" s="327">
        <f t="shared" si="0"/>
        <v>0</v>
      </c>
      <c r="P30" s="250" t="str">
        <f>'Worksheet 2'!P30</f>
        <v xml:space="preserve"> </v>
      </c>
      <c r="Q30" s="322">
        <f>'Worksheet 2'!Q30</f>
        <v>0</v>
      </c>
      <c r="R30" s="250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301" t="s">
        <v>2537</v>
      </c>
      <c r="Z32" s="340">
        <f>'Worksheet 2'!Z32</f>
        <v>0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  <c r="Y33" s="301" t="s">
        <v>2538</v>
      </c>
      <c r="Z33" s="34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 t="s">
        <v>2539</v>
      </c>
      <c r="P34" s="340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0" t="s">
        <v>2522</v>
      </c>
      <c r="Q4" s="420"/>
      <c r="R4" s="417">
        <f>'Worksheet 2'!R4</f>
        <v>0</v>
      </c>
      <c r="S4" s="417"/>
      <c r="T4" s="417"/>
      <c r="U4" s="171"/>
      <c r="V4" s="69" t="s">
        <v>4</v>
      </c>
      <c r="W4" s="453" t="str">
        <f>'Worksheet 2'!W4</f>
        <v xml:space="preserve">         Yamhill OR-chapel  WO#J5135826-00333</v>
      </c>
      <c r="X4" s="453"/>
      <c r="Y4" s="207" t="s">
        <v>2291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31" t="str">
        <f>'Worksheet 2'!W5</f>
        <v>7200 Northwest Pike Rd</v>
      </c>
      <c r="X5" s="431"/>
      <c r="Y5" s="431"/>
      <c r="Z5" s="66"/>
    </row>
    <row r="6" spans="1:26" s="53" customFormat="1" ht="15.9" customHeight="1">
      <c r="A6" s="198"/>
      <c r="B6" s="64"/>
      <c r="C6" s="57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7"/>
      <c r="Q6" s="463">
        <f>'Worksheet 2'!AR1</f>
        <v>33297</v>
      </c>
      <c r="R6" s="464"/>
      <c r="S6" s="57"/>
      <c r="T6" s="171"/>
      <c r="U6" s="75"/>
      <c r="V6" s="66"/>
      <c r="W6" s="431" t="str">
        <f>'Worksheet 2'!W6</f>
        <v>Yamhill, OR  97148-8238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2" t="s">
        <v>2549</v>
      </c>
      <c r="Q7" s="465"/>
      <c r="R7" s="466"/>
      <c r="S7" s="57"/>
      <c r="T7" s="57"/>
      <c r="U7" s="75"/>
      <c r="V7" s="66" t="s">
        <v>102</v>
      </c>
      <c r="W7" s="336" t="str">
        <f>'Worksheet 2'!D6</f>
        <v>Colton Plessman</v>
      </c>
      <c r="X7" s="163" t="str">
        <f>'Worksheet 2'!J6</f>
        <v>971-334-0446</v>
      </c>
      <c r="Y7" s="163"/>
      <c r="Z7" s="66"/>
    </row>
    <row r="8" spans="1:26" s="53" customFormat="1" ht="21" customHeight="1">
      <c r="A8" s="198"/>
      <c r="B8" s="64"/>
      <c r="C8" s="57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2">
        <f>'Worksheet 2'!Q11</f>
        <v>0</v>
      </c>
      <c r="R11" s="250" t="str">
        <f>'Worksheet 2'!R11</f>
        <v xml:space="preserve"> </v>
      </c>
      <c r="S11" s="323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2">
        <f>'Worksheet 2'!Q12</f>
        <v>0</v>
      </c>
      <c r="R12" s="250" t="str">
        <f>'Worksheet 2'!R12</f>
        <v xml:space="preserve"> </v>
      </c>
      <c r="S12" s="323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2">
        <f>'Worksheet 2'!Q13</f>
        <v>0</v>
      </c>
      <c r="R13" s="250" t="str">
        <f>'Worksheet 2'!R13</f>
        <v xml:space="preserve"> </v>
      </c>
      <c r="S13" s="323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2">
        <f>'Worksheet 2'!Q14</f>
        <v>0</v>
      </c>
      <c r="R14" s="250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2">
        <f>'Worksheet 2'!Q15</f>
        <v>0</v>
      </c>
      <c r="R15" s="250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2">
        <f>'Worksheet 2'!Q16</f>
        <v>0</v>
      </c>
      <c r="R16" s="250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2">
        <f>'Worksheet 2'!Q17</f>
        <v>0</v>
      </c>
      <c r="R17" s="250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2">
        <f>'Worksheet 2'!Q18</f>
        <v>0</v>
      </c>
      <c r="R18" s="250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2">
        <f>'Worksheet 2'!Q19</f>
        <v>0</v>
      </c>
      <c r="R19" s="250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2">
        <f>'Worksheet 2'!Q20</f>
        <v>0</v>
      </c>
      <c r="R20" s="250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2">
        <f>'Worksheet 2'!Q21</f>
        <v>0</v>
      </c>
      <c r="R21" s="250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2">
        <f>'Worksheet 2'!Q22</f>
        <v>0</v>
      </c>
      <c r="R22" s="250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2">
        <f>'Worksheet 2'!Q23</f>
        <v>0</v>
      </c>
      <c r="R23" s="250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2">
        <f>'Worksheet 2'!Q24</f>
        <v>0</v>
      </c>
      <c r="R24" s="250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2">
        <f>'Worksheet 2'!Q25</f>
        <v>0</v>
      </c>
      <c r="R25" s="250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2">
        <f>'Worksheet 2'!Q26</f>
        <v>0</v>
      </c>
      <c r="R26" s="250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2">
        <f>'Worksheet 2'!Q27</f>
        <v>0</v>
      </c>
      <c r="R27" s="250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2">
        <f>'Worksheet 2'!Q28</f>
        <v>0</v>
      </c>
      <c r="R28" s="250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2">
        <f>'Worksheet 2'!Q29</f>
        <v>0</v>
      </c>
      <c r="R29" s="250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'Worksheet 2'!M30</f>
        <v>0</v>
      </c>
      <c r="N30" s="326">
        <f t="shared" si="4"/>
        <v>0</v>
      </c>
      <c r="O30" s="327">
        <f t="shared" si="0"/>
        <v>0</v>
      </c>
      <c r="P30" s="250" t="str">
        <f>'Worksheet 2'!P30</f>
        <v xml:space="preserve"> </v>
      </c>
      <c r="Q30" s="322">
        <f>'Worksheet 2'!Q30</f>
        <v>0</v>
      </c>
      <c r="R30" s="250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5" t="s">
        <v>2542</v>
      </c>
      <c r="Y1" s="306">
        <f>'Worksheet 2'!AR1</f>
        <v>33297</v>
      </c>
    </row>
    <row r="2" spans="1:26" s="53" customFormat="1">
      <c r="A2" s="198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0" t="s">
        <v>2522</v>
      </c>
      <c r="Q4" s="420"/>
      <c r="R4" s="417">
        <f>'Worksheet 2'!R4</f>
        <v>0</v>
      </c>
      <c r="S4" s="417"/>
      <c r="T4" s="417"/>
      <c r="U4" s="171"/>
      <c r="V4" s="254" t="s">
        <v>39</v>
      </c>
      <c r="W4" s="255">
        <f>'Worksheet 2'!W32</f>
        <v>0</v>
      </c>
      <c r="X4" s="255"/>
      <c r="Y4" s="301" t="s">
        <v>2291</v>
      </c>
      <c r="Z4" s="211">
        <f>'Worksheet 2'!Z4</f>
        <v>2</v>
      </c>
    </row>
    <row r="5" spans="1:26" s="53" customFormat="1" ht="15.9" customHeight="1">
      <c r="A5" s="198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9"/>
      <c r="Z5" s="66"/>
    </row>
    <row r="6" spans="1:26" s="53" customFormat="1" ht="15.9" customHeight="1">
      <c r="A6" s="198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'Worksheet 2'!W4</f>
        <v xml:space="preserve">         Yamhill OR-chapel  WO#J5135826-00333</v>
      </c>
      <c r="O6" s="321"/>
      <c r="P6" s="65"/>
      <c r="Q6" s="337"/>
      <c r="R6" s="338"/>
      <c r="S6" s="57"/>
      <c r="T6" s="171"/>
      <c r="U6" s="75"/>
      <c r="V6" s="163"/>
      <c r="W6" s="163">
        <f>'Worksheet 2'!W34</f>
        <v>0</v>
      </c>
      <c r="X6" s="163"/>
      <c r="Y6" s="319"/>
      <c r="Z6" s="66"/>
    </row>
    <row r="7" spans="1:26" s="53" customFormat="1" ht="15.75" customHeight="1">
      <c r="A7" s="198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2">
        <f>'Worksheet 2'!Q11</f>
        <v>0</v>
      </c>
      <c r="R11" s="250" t="str">
        <f>'Worksheet 2'!R11</f>
        <v xml:space="preserve"> </v>
      </c>
      <c r="S11" s="323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2">
        <f>'Worksheet 2'!Q12</f>
        <v>0</v>
      </c>
      <c r="R12" s="250" t="str">
        <f>'Worksheet 2'!R12</f>
        <v xml:space="preserve"> </v>
      </c>
      <c r="S12" s="323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2">
        <f>'Worksheet 2'!Q13</f>
        <v>0</v>
      </c>
      <c r="R13" s="250" t="str">
        <f>'Worksheet 2'!R13</f>
        <v xml:space="preserve"> </v>
      </c>
      <c r="S13" s="323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2">
        <f>'Worksheet 2'!Q14</f>
        <v>0</v>
      </c>
      <c r="R14" s="250" t="str">
        <f>'Worksheet 2'!R14</f>
        <v xml:space="preserve"> </v>
      </c>
      <c r="S14" s="323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2">
        <f>'Worksheet 2'!Q15</f>
        <v>0</v>
      </c>
      <c r="R15" s="250" t="str">
        <f>'Worksheet 2'!R15</f>
        <v xml:space="preserve"> </v>
      </c>
      <c r="S15" s="323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2">
        <f>'Worksheet 2'!Q16</f>
        <v>0</v>
      </c>
      <c r="R16" s="250" t="str">
        <f>'Worksheet 2'!R16</f>
        <v xml:space="preserve"> </v>
      </c>
      <c r="S16" s="323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2">
        <f>'Worksheet 2'!Q17</f>
        <v>0</v>
      </c>
      <c r="R17" s="250" t="str">
        <f>'Worksheet 2'!R17</f>
        <v xml:space="preserve"> </v>
      </c>
      <c r="S17" s="323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2">
        <f>'Worksheet 2'!Q18</f>
        <v>0</v>
      </c>
      <c r="R18" s="250" t="str">
        <f>'Worksheet 2'!R18</f>
        <v xml:space="preserve"> </v>
      </c>
      <c r="S18" s="323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2">
        <f>'Worksheet 2'!Q19</f>
        <v>0</v>
      </c>
      <c r="R19" s="250" t="str">
        <f>'Worksheet 2'!R19</f>
        <v xml:space="preserve"> </v>
      </c>
      <c r="S19" s="323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2">
        <f>'Worksheet 2'!Q20</f>
        <v>0</v>
      </c>
      <c r="R20" s="250" t="str">
        <f>'Worksheet 2'!R20</f>
        <v xml:space="preserve"> </v>
      </c>
      <c r="S20" s="323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2">
        <f>'Worksheet 2'!Q21</f>
        <v>0</v>
      </c>
      <c r="R21" s="250" t="str">
        <f>'Worksheet 2'!R21</f>
        <v xml:space="preserve"> </v>
      </c>
      <c r="S21" s="323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2">
        <f>'Worksheet 2'!Q22</f>
        <v>0</v>
      </c>
      <c r="R22" s="250" t="str">
        <f>'Worksheet 2'!R22</f>
        <v xml:space="preserve"> </v>
      </c>
      <c r="S22" s="323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2">
        <f>'Worksheet 2'!Q23</f>
        <v>0</v>
      </c>
      <c r="R23" s="250" t="str">
        <f>'Worksheet 2'!R23</f>
        <v xml:space="preserve"> </v>
      </c>
      <c r="S23" s="323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2">
        <f>'Worksheet 2'!Q24</f>
        <v>0</v>
      </c>
      <c r="R24" s="250" t="str">
        <f>'Worksheet 2'!R24</f>
        <v xml:space="preserve"> </v>
      </c>
      <c r="S24" s="323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2">
        <f>'Worksheet 2'!Q25</f>
        <v>0</v>
      </c>
      <c r="R25" s="250" t="str">
        <f>'Worksheet 2'!R25</f>
        <v xml:space="preserve"> </v>
      </c>
      <c r="S25" s="323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2">
        <f>'Worksheet 2'!Q26</f>
        <v>0</v>
      </c>
      <c r="R26" s="250" t="str">
        <f>'Worksheet 2'!R26</f>
        <v xml:space="preserve"> </v>
      </c>
      <c r="S26" s="323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2">
        <f>'Worksheet 2'!Q27</f>
        <v>0</v>
      </c>
      <c r="R27" s="250" t="str">
        <f>'Worksheet 2'!R27</f>
        <v xml:space="preserve"> </v>
      </c>
      <c r="S27" s="323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2">
        <f>'Worksheet 2'!Q28</f>
        <v>0</v>
      </c>
      <c r="R28" s="250" t="str">
        <f>'Worksheet 2'!R28</f>
        <v xml:space="preserve"> </v>
      </c>
      <c r="S28" s="323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2">
        <f>'Worksheet 2'!Q29</f>
        <v>0</v>
      </c>
      <c r="R29" s="250" t="str">
        <f>'Worksheet 2'!R29</f>
        <v xml:space="preserve"> </v>
      </c>
      <c r="S29" s="323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'Worksheet 2'!M30</f>
        <v>0</v>
      </c>
      <c r="N30" s="326">
        <f t="shared" si="4"/>
        <v>0</v>
      </c>
      <c r="O30" s="327">
        <f t="shared" si="0"/>
        <v>0</v>
      </c>
      <c r="P30" s="250" t="str">
        <f>'Worksheet 2'!P30</f>
        <v xml:space="preserve"> </v>
      </c>
      <c r="Q30" s="322">
        <f>'Worksheet 2'!Q30</f>
        <v>0</v>
      </c>
      <c r="R30" s="250" t="str">
        <f>'Worksheet 2'!R30</f>
        <v xml:space="preserve"> </v>
      </c>
      <c r="S30" s="323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 t="s">
        <v>2546</v>
      </c>
      <c r="W32" s="331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1" t="s">
        <v>2547</v>
      </c>
      <c r="W33" s="331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2" t="s">
        <v>2539</v>
      </c>
      <c r="P34" s="340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E2" sqref="AE2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3" customWidth="1"/>
    <col min="23" max="23" width="17" customWidth="1"/>
    <col min="24" max="24" width="18.33203125" customWidth="1"/>
    <col min="25" max="25" width="22.44140625" customWidth="1"/>
    <col min="26" max="26" width="8.88671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6" t="str">
        <f>IF(F35&gt;0,"FINAL MEASUREMENTS OK"," ")</f>
        <v>FINAL MEASUREMENTS OK</v>
      </c>
      <c r="O1" s="416"/>
      <c r="P1" s="416"/>
      <c r="Q1" s="416"/>
      <c r="R1" s="416"/>
      <c r="S1" s="416"/>
      <c r="T1" s="41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2">
        <v>33297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1" t="s">
        <v>2595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20" t="s">
        <v>2522</v>
      </c>
      <c r="Q4" s="420"/>
      <c r="R4" s="417"/>
      <c r="S4" s="417"/>
      <c r="T4" s="417"/>
      <c r="U4" s="171"/>
      <c r="V4" s="69" t="s">
        <v>4</v>
      </c>
      <c r="W4" s="387" t="s">
        <v>2621</v>
      </c>
      <c r="X4" s="255"/>
      <c r="Y4" s="207" t="s">
        <v>2291</v>
      </c>
      <c r="Z4" s="211">
        <v>1</v>
      </c>
      <c r="AB4" s="423" t="s">
        <v>2581</v>
      </c>
      <c r="AC4" s="424"/>
      <c r="AD4" s="424"/>
      <c r="AE4" s="424"/>
      <c r="AF4" s="425"/>
      <c r="AG4" s="389" t="s">
        <v>4</v>
      </c>
      <c r="AH4" s="438" t="str">
        <f>W4</f>
        <v xml:space="preserve">         Yamhill OR-chapel  WO#J5135826-00333</v>
      </c>
      <c r="AI4" s="438"/>
      <c r="AJ4" s="438"/>
      <c r="AK4" s="438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1</v>
      </c>
      <c r="BB4" s="435" t="s">
        <v>2492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" customHeight="1">
      <c r="A5" s="198"/>
      <c r="B5" s="64"/>
      <c r="C5" s="57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7"/>
      <c r="Q5" s="57"/>
      <c r="R5" s="57"/>
      <c r="T5" s="57"/>
      <c r="U5" s="57"/>
      <c r="V5" s="66"/>
      <c r="W5" s="163" t="s">
        <v>2600</v>
      </c>
      <c r="X5" s="163"/>
      <c r="Y5" s="16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429" t="s">
        <v>2596</v>
      </c>
      <c r="E6" s="429"/>
      <c r="F6" s="429"/>
      <c r="G6" s="429"/>
      <c r="H6" s="429"/>
      <c r="I6" s="77" t="s">
        <v>103</v>
      </c>
      <c r="J6" s="430" t="s">
        <v>2597</v>
      </c>
      <c r="K6" s="430"/>
      <c r="L6" s="430"/>
      <c r="M6" s="430"/>
      <c r="N6" s="430"/>
      <c r="O6" s="430"/>
      <c r="P6" s="57"/>
      <c r="Q6" s="172" t="s">
        <v>90</v>
      </c>
      <c r="R6" s="65"/>
      <c r="S6" s="65"/>
      <c r="T6" s="376"/>
      <c r="U6" s="75"/>
      <c r="V6" s="66"/>
      <c r="W6" s="163" t="s">
        <v>2601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1"/>
      <c r="E7" s="431"/>
      <c r="F7" s="431"/>
      <c r="G7" s="431"/>
      <c r="H7" s="431"/>
      <c r="I7" s="64" t="s">
        <v>105</v>
      </c>
      <c r="J7" s="432" t="s">
        <v>2598</v>
      </c>
      <c r="K7" s="433"/>
      <c r="L7" s="433"/>
      <c r="M7" s="433"/>
      <c r="N7" s="433"/>
      <c r="O7" s="433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2" t="s">
        <v>2580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27.5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 t="s">
        <v>2599</v>
      </c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66</v>
      </c>
      <c r="AK8" s="440"/>
      <c r="AL8" s="191">
        <v>55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1" t="s">
        <v>135</v>
      </c>
      <c r="AB9" s="362" t="s">
        <v>136</v>
      </c>
      <c r="AC9" s="82" t="s">
        <v>6</v>
      </c>
      <c r="AD9" s="218" t="s">
        <v>134</v>
      </c>
      <c r="AE9" s="363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4" t="s">
        <v>40</v>
      </c>
      <c r="AB10" s="103" t="s">
        <v>10</v>
      </c>
      <c r="AC10" s="154" t="s">
        <v>124</v>
      </c>
      <c r="AD10" s="220" t="s">
        <v>10</v>
      </c>
      <c r="AE10" s="365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2610</v>
      </c>
      <c r="C11" s="155" t="s">
        <v>116</v>
      </c>
      <c r="D11" s="112"/>
      <c r="E11" s="113">
        <v>1</v>
      </c>
      <c r="F11" s="113" t="s">
        <v>138</v>
      </c>
      <c r="G11" s="111">
        <v>14</v>
      </c>
      <c r="H11" s="114"/>
      <c r="I11" s="111">
        <v>135</v>
      </c>
      <c r="J11" s="245" t="str">
        <f>IF(F11="l","left",IF(F11="r","right",IF(F11="f","flat",IF(F11="d","dead",IF(F11="s","sor",IF(F11="st","sor t&amp;b",0))))))</f>
        <v>dead</v>
      </c>
      <c r="K11" s="245">
        <f>+G11</f>
        <v>14</v>
      </c>
      <c r="L11" s="246" t="str">
        <f>IF(F11&gt;"r",0,IF(G11&gt;0,"+",0))</f>
        <v>+</v>
      </c>
      <c r="M11" s="247">
        <f t="shared" ref="M11:M30" si="0">IF(F11="F",0,IF(F11&gt;"r",0,AZ11))</f>
        <v>3</v>
      </c>
      <c r="N11" s="248" t="str">
        <f>IF(G11&gt;0,"x",0)</f>
        <v>x</v>
      </c>
      <c r="O11" s="249">
        <f t="shared" ref="O11:O30" si="1">+I11</f>
        <v>135</v>
      </c>
      <c r="P11" s="250">
        <f t="shared" ref="P11:P30" si="2">IF($G11&gt;0,VLOOKUP($W11,$BK$12:$BL$40,2,FALSE)," ")</f>
        <v>74</v>
      </c>
      <c r="Q11" s="352">
        <f>IF(D11+E11&gt;0,IF(F11&gt;"u",0,IF(BA11="RR","RR",+BB11)),0)</f>
        <v>0.60000000000000009</v>
      </c>
      <c r="R11" s="351">
        <f t="shared" ref="R11:R30" si="3">IF($C11&gt;0,VLOOKUP($X11,$BK$28:$BL$40,2,FALSE)," ")</f>
        <v>62</v>
      </c>
      <c r="S11" s="353">
        <f>IF($C11&gt;0,ROUND(IF($R11&lt;59,($K11+$M11)/23,IF($R11&lt;65,($K11+$M11)/25,IF($R11&lt;75,($K11+$M11)/30,"RR"))),1)," ")</f>
        <v>0.7</v>
      </c>
      <c r="T11" s="113"/>
      <c r="U11" s="244">
        <f t="shared" ref="U11:U30" si="4">+D11+E11</f>
        <v>1</v>
      </c>
      <c r="V11" s="221" t="s">
        <v>2607</v>
      </c>
      <c r="W11" s="221" t="s">
        <v>2493</v>
      </c>
      <c r="X11" s="222" t="s">
        <v>153</v>
      </c>
      <c r="Y11" s="57"/>
      <c r="Z11" s="57"/>
      <c r="AA11" s="360">
        <f t="shared" ref="AA11:AA30" si="5">IF(D11+E11&gt;0,IF(F11&gt;"u",0,IF(BA11="RR","RR",ROUND(BA11,1))),0)</f>
        <v>0.6</v>
      </c>
      <c r="AB11" s="355">
        <f t="shared" ref="AB11:AB30" si="6">IF(D11+E11&gt;0,IF(P11&gt;75,BD11,+BC11),0)</f>
        <v>2</v>
      </c>
      <c r="AC11" s="356">
        <f t="shared" ref="AC11:AC30" si="7">IF(D11+E11&gt;0,IF(P11&gt;75,BI11,BE11),0)</f>
        <v>3</v>
      </c>
      <c r="AD11" s="357">
        <f t="shared" ref="AD11:AD30" si="8">IF($C11&gt;0,ROUNDUP((($K11+$M11)/25),0)," ")</f>
        <v>1</v>
      </c>
      <c r="AE11" s="366">
        <f t="shared" ref="AE11:AE30" si="9">IF(C11&gt;0,(O11+10)*AD11/36,0)</f>
        <v>4.0277777777777777</v>
      </c>
      <c r="AF11" s="57" t="s">
        <v>23</v>
      </c>
      <c r="AG11" s="116">
        <f t="shared" ref="AG11:AG30" si="10">+G11*I11/144*(D11+E11)</f>
        <v>13.125</v>
      </c>
      <c r="AH11" s="113">
        <v>45</v>
      </c>
      <c r="AI11" s="113">
        <v>15</v>
      </c>
      <c r="AJ11" s="113">
        <v>40</v>
      </c>
      <c r="AK11" s="117"/>
      <c r="AL11" s="259">
        <f t="shared" ref="AL11:AL30" si="11">IF(C11&gt;0,AB11*Lining_Sew_Price)+AB11*sew_price*squeeze</f>
        <v>165</v>
      </c>
      <c r="AM11" s="118">
        <f t="shared" ref="AM11:AM30" si="12">IF($R$34=1,AB11*install_price*squeeze," ")</f>
        <v>56</v>
      </c>
      <c r="AN11" s="260">
        <f t="shared" ref="AN11:AN30" si="13">U11*AJ11*squeeze</f>
        <v>40</v>
      </c>
      <c r="AO11" s="118">
        <f t="shared" ref="AO11:AO30" si="14">AC11*AH11*squeeze</f>
        <v>135</v>
      </c>
      <c r="AP11" s="118">
        <f t="shared" ref="AP11:AP30" si="15">IF(C11&gt;0,AE11*AI11*squeeze," ")</f>
        <v>60.416666666666664</v>
      </c>
      <c r="AQ11" s="118">
        <f t="shared" ref="AQ11:AQ30" si="16">+AK11*squeeze</f>
        <v>0</v>
      </c>
      <c r="AR11" s="119">
        <f t="shared" ref="AR11:AR30" si="17">SUM(AL11:AQ11)</f>
        <v>456.41666666666669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3</v>
      </c>
      <c r="BA11" s="120">
        <f t="shared" ref="BA11:BA30" si="18">IF($P11&gt;77,"RR", (($K11+$M11)*$AE$7)/$P11)</f>
        <v>0.57432432432432434</v>
      </c>
      <c r="BB11" s="120">
        <f>(+ROUNDUP(BA11*2,1))/2</f>
        <v>0.60000000000000009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1</v>
      </c>
      <c r="BE11" s="120">
        <f>(ROUNDUP(2*BF11,0))/2</f>
        <v>3</v>
      </c>
      <c r="BF11" s="120">
        <f t="shared" ref="BF11:BF30" si="21">((IF(T11:T116,BH11,BG11))*AA11/36)*(IF(D11&gt;0,D11,E11))</f>
        <v>2.5166666666666666</v>
      </c>
      <c r="BG11" s="120">
        <f t="shared" ref="BG11:BG30" si="22">I11+16</f>
        <v>151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2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2604</v>
      </c>
      <c r="C12" s="155" t="s">
        <v>116</v>
      </c>
      <c r="D12" s="112"/>
      <c r="E12" s="113">
        <v>1</v>
      </c>
      <c r="F12" s="113" t="s">
        <v>142</v>
      </c>
      <c r="G12" s="111">
        <v>36</v>
      </c>
      <c r="H12" s="114"/>
      <c r="I12" s="111">
        <v>74</v>
      </c>
      <c r="J12" s="245" t="str">
        <f t="shared" ref="J12:J30" si="25">IF(F12="l","left",IF(F12="r","right",IF(F12="f","flat",IF(F12="d","dead",IF(F12="s","sor",IF(F12="st","sor t&amp;b",0))))))</f>
        <v>sor t&amp;b</v>
      </c>
      <c r="K12" s="245">
        <f t="shared" ref="K12:K30" si="26">+G12</f>
        <v>36</v>
      </c>
      <c r="L12" s="246">
        <f t="shared" ref="L12:L30" si="27">IF(F12&gt;"r",0,IF(G12&gt;0,"+",0))</f>
        <v>0</v>
      </c>
      <c r="M12" s="247">
        <f t="shared" si="0"/>
        <v>0</v>
      </c>
      <c r="N12" s="248" t="str">
        <f t="shared" ref="N12:N30" si="28">IF(G12&gt;0,"x",0)</f>
        <v>x</v>
      </c>
      <c r="O12" s="249">
        <f t="shared" si="1"/>
        <v>74</v>
      </c>
      <c r="P12" s="250">
        <f t="shared" si="2"/>
        <v>74</v>
      </c>
      <c r="Q12" s="352">
        <f t="shared" ref="Q12:Q30" si="29">IF(D12+E12&gt;0,IF(F12&gt;"u",0,IF(BA12="RR","RR",+BB12)),0)</f>
        <v>1.25</v>
      </c>
      <c r="R12" s="250">
        <f t="shared" si="3"/>
        <v>62</v>
      </c>
      <c r="S12" s="353">
        <f t="shared" ref="S12:S30" si="30">IF($C12&gt;0,ROUND(IF($R12&lt;59,($K12+$M12)/23,IF($R12&lt;65,($K12+$M12)/25,IF($R12&lt;75,($K12+$M12)/30,"RR"))),1)," ")</f>
        <v>1.4</v>
      </c>
      <c r="T12" s="113"/>
      <c r="U12" s="244">
        <v>2</v>
      </c>
      <c r="V12" s="221" t="s">
        <v>2605</v>
      </c>
      <c r="W12" s="221" t="s">
        <v>2493</v>
      </c>
      <c r="X12" s="222" t="s">
        <v>153</v>
      </c>
      <c r="Y12" s="57" t="s">
        <v>2606</v>
      </c>
      <c r="Z12" s="57"/>
      <c r="AA12" s="360">
        <f t="shared" si="5"/>
        <v>1.2</v>
      </c>
      <c r="AB12" s="355">
        <f t="shared" si="6"/>
        <v>2</v>
      </c>
      <c r="AC12" s="356">
        <f t="shared" si="7"/>
        <v>3</v>
      </c>
      <c r="AD12" s="357">
        <f t="shared" si="8"/>
        <v>2</v>
      </c>
      <c r="AE12" s="366">
        <f t="shared" si="9"/>
        <v>4.666666666666667</v>
      </c>
      <c r="AF12" s="57" t="s">
        <v>24</v>
      </c>
      <c r="AG12" s="116">
        <f t="shared" si="10"/>
        <v>18.5</v>
      </c>
      <c r="AH12" s="113">
        <v>45</v>
      </c>
      <c r="AI12" s="113">
        <v>15</v>
      </c>
      <c r="AJ12" s="113">
        <v>15</v>
      </c>
      <c r="AK12" s="117"/>
      <c r="AL12" s="259">
        <f t="shared" si="11"/>
        <v>165</v>
      </c>
      <c r="AM12" s="118">
        <f t="shared" si="12"/>
        <v>56</v>
      </c>
      <c r="AN12" s="260">
        <f t="shared" si="13"/>
        <v>30</v>
      </c>
      <c r="AO12" s="118">
        <f t="shared" si="14"/>
        <v>135</v>
      </c>
      <c r="AP12" s="118">
        <f t="shared" si="15"/>
        <v>70</v>
      </c>
      <c r="AQ12" s="118">
        <f t="shared" si="16"/>
        <v>0</v>
      </c>
      <c r="AR12" s="119">
        <f t="shared" si="17"/>
        <v>456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0">
        <f t="shared" si="18"/>
        <v>1.2162162162162162</v>
      </c>
      <c r="BB12" s="120">
        <f t="shared" ref="BB12:BB30" si="32">(+ROUNDUP(BA12*2,1))/2</f>
        <v>1.25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3</v>
      </c>
      <c r="BF12" s="120">
        <f t="shared" si="21"/>
        <v>3</v>
      </c>
      <c r="BG12" s="120">
        <f t="shared" si="22"/>
        <v>90</v>
      </c>
      <c r="BH12" s="120" t="e">
        <f t="shared" si="23"/>
        <v>#DIV/0!</v>
      </c>
      <c r="BI12" s="122">
        <f t="shared" si="24"/>
        <v>3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2610</v>
      </c>
      <c r="C13" s="155" t="s">
        <v>116</v>
      </c>
      <c r="D13" s="112">
        <v>1</v>
      </c>
      <c r="E13" s="113"/>
      <c r="F13" s="113"/>
      <c r="G13" s="111">
        <v>48</v>
      </c>
      <c r="H13" s="114">
        <v>3.5</v>
      </c>
      <c r="I13" s="111">
        <v>59</v>
      </c>
      <c r="J13" s="245">
        <f t="shared" si="25"/>
        <v>0</v>
      </c>
      <c r="K13" s="245">
        <f t="shared" si="26"/>
        <v>48</v>
      </c>
      <c r="L13" s="246" t="str">
        <f t="shared" si="27"/>
        <v>+</v>
      </c>
      <c r="M13" s="247">
        <f t="shared" si="0"/>
        <v>13</v>
      </c>
      <c r="N13" s="248" t="str">
        <f t="shared" si="28"/>
        <v>x</v>
      </c>
      <c r="O13" s="249">
        <f t="shared" si="1"/>
        <v>59</v>
      </c>
      <c r="P13" s="250">
        <f t="shared" si="2"/>
        <v>74</v>
      </c>
      <c r="Q13" s="352">
        <f t="shared" si="29"/>
        <v>2.0999999999999996</v>
      </c>
      <c r="R13" s="250">
        <f t="shared" si="3"/>
        <v>62</v>
      </c>
      <c r="S13" s="353">
        <f t="shared" si="30"/>
        <v>2.4</v>
      </c>
      <c r="T13" s="113"/>
      <c r="U13" s="244">
        <f t="shared" si="4"/>
        <v>1</v>
      </c>
      <c r="V13" s="221" t="s">
        <v>2608</v>
      </c>
      <c r="W13" s="221" t="s">
        <v>2493</v>
      </c>
      <c r="X13" s="222" t="s">
        <v>153</v>
      </c>
      <c r="Y13" s="57"/>
      <c r="Z13" s="57"/>
      <c r="AA13" s="360">
        <f t="shared" si="5"/>
        <v>2.1</v>
      </c>
      <c r="AB13" s="355">
        <f t="shared" si="6"/>
        <v>4</v>
      </c>
      <c r="AC13" s="356">
        <f t="shared" si="7"/>
        <v>4.5</v>
      </c>
      <c r="AD13" s="357">
        <f t="shared" si="8"/>
        <v>3</v>
      </c>
      <c r="AE13" s="366">
        <f t="shared" si="9"/>
        <v>5.75</v>
      </c>
      <c r="AF13" s="57" t="s">
        <v>25</v>
      </c>
      <c r="AG13" s="116">
        <f t="shared" si="10"/>
        <v>19.666666666666668</v>
      </c>
      <c r="AH13" s="113">
        <v>45</v>
      </c>
      <c r="AI13" s="113">
        <v>15</v>
      </c>
      <c r="AJ13" s="113">
        <v>75</v>
      </c>
      <c r="AK13" s="117"/>
      <c r="AL13" s="259">
        <f t="shared" si="11"/>
        <v>330</v>
      </c>
      <c r="AM13" s="118">
        <f t="shared" si="12"/>
        <v>112</v>
      </c>
      <c r="AN13" s="260">
        <f t="shared" si="13"/>
        <v>75</v>
      </c>
      <c r="AO13" s="118">
        <f t="shared" si="14"/>
        <v>202.5</v>
      </c>
      <c r="AP13" s="118">
        <f t="shared" si="15"/>
        <v>86.25</v>
      </c>
      <c r="AQ13" s="118">
        <f t="shared" si="16"/>
        <v>0</v>
      </c>
      <c r="AR13" s="119">
        <f t="shared" si="17"/>
        <v>805.75</v>
      </c>
      <c r="AS13" s="184"/>
      <c r="AZ13" s="120">
        <f t="shared" si="31"/>
        <v>13</v>
      </c>
      <c r="BA13" s="120">
        <f t="shared" si="18"/>
        <v>2.060810810810811</v>
      </c>
      <c r="BB13" s="120">
        <f t="shared" si="32"/>
        <v>2.0999999999999996</v>
      </c>
      <c r="BC13" s="121">
        <f t="shared" si="19"/>
        <v>4</v>
      </c>
      <c r="BD13" s="121">
        <f t="shared" si="20"/>
        <v>3</v>
      </c>
      <c r="BE13" s="120">
        <f t="shared" si="33"/>
        <v>4.5</v>
      </c>
      <c r="BF13" s="120">
        <f t="shared" si="21"/>
        <v>4.375</v>
      </c>
      <c r="BG13" s="120">
        <f t="shared" si="22"/>
        <v>75</v>
      </c>
      <c r="BH13" s="120" t="e">
        <f t="shared" si="23"/>
        <v>#DIV/0!</v>
      </c>
      <c r="BI13" s="122">
        <f t="shared" si="24"/>
        <v>5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2610</v>
      </c>
      <c r="C14" s="155" t="s">
        <v>116</v>
      </c>
      <c r="D14" s="112"/>
      <c r="E14" s="113">
        <v>1</v>
      </c>
      <c r="F14" s="113" t="s">
        <v>138</v>
      </c>
      <c r="G14" s="111">
        <v>14</v>
      </c>
      <c r="H14" s="114"/>
      <c r="I14" s="111">
        <v>122</v>
      </c>
      <c r="J14" s="245" t="str">
        <f t="shared" si="25"/>
        <v>dead</v>
      </c>
      <c r="K14" s="245">
        <f t="shared" si="26"/>
        <v>14</v>
      </c>
      <c r="L14" s="246" t="str">
        <f t="shared" si="27"/>
        <v>+</v>
      </c>
      <c r="M14" s="247">
        <f t="shared" si="0"/>
        <v>3</v>
      </c>
      <c r="N14" s="248" t="str">
        <f t="shared" si="28"/>
        <v>x</v>
      </c>
      <c r="O14" s="249">
        <f t="shared" si="1"/>
        <v>122</v>
      </c>
      <c r="P14" s="250">
        <f t="shared" si="2"/>
        <v>74</v>
      </c>
      <c r="Q14" s="352">
        <f t="shared" si="29"/>
        <v>0.60000000000000009</v>
      </c>
      <c r="R14" s="250">
        <f t="shared" si="3"/>
        <v>62</v>
      </c>
      <c r="S14" s="353">
        <f t="shared" si="30"/>
        <v>0.7</v>
      </c>
      <c r="T14" s="113">
        <v>0</v>
      </c>
      <c r="U14" s="244">
        <f t="shared" si="4"/>
        <v>1</v>
      </c>
      <c r="V14" s="221" t="s">
        <v>2607</v>
      </c>
      <c r="W14" s="221" t="s">
        <v>2493</v>
      </c>
      <c r="X14" s="222" t="s">
        <v>153</v>
      </c>
      <c r="Y14" s="57"/>
      <c r="Z14" s="57"/>
      <c r="AA14" s="360">
        <f t="shared" si="5"/>
        <v>0.6</v>
      </c>
      <c r="AB14" s="355">
        <f t="shared" si="6"/>
        <v>2</v>
      </c>
      <c r="AC14" s="356">
        <f t="shared" si="7"/>
        <v>2.5</v>
      </c>
      <c r="AD14" s="357">
        <f t="shared" si="8"/>
        <v>1</v>
      </c>
      <c r="AE14" s="366">
        <f t="shared" si="9"/>
        <v>3.6666666666666665</v>
      </c>
      <c r="AF14" s="57" t="s">
        <v>26</v>
      </c>
      <c r="AG14" s="116">
        <f t="shared" si="10"/>
        <v>11.861111111111111</v>
      </c>
      <c r="AH14" s="113">
        <v>45</v>
      </c>
      <c r="AI14" s="113">
        <v>15</v>
      </c>
      <c r="AJ14" s="113">
        <v>40</v>
      </c>
      <c r="AK14" s="117"/>
      <c r="AL14" s="259">
        <f t="shared" si="11"/>
        <v>165</v>
      </c>
      <c r="AM14" s="118">
        <f t="shared" si="12"/>
        <v>56</v>
      </c>
      <c r="AN14" s="260">
        <f t="shared" si="13"/>
        <v>40</v>
      </c>
      <c r="AO14" s="118">
        <f t="shared" si="14"/>
        <v>112.5</v>
      </c>
      <c r="AP14" s="118">
        <f t="shared" si="15"/>
        <v>55</v>
      </c>
      <c r="AQ14" s="118">
        <f t="shared" si="16"/>
        <v>0</v>
      </c>
      <c r="AR14" s="119">
        <f t="shared" si="17"/>
        <v>428.5</v>
      </c>
      <c r="AS14" s="184"/>
      <c r="AZ14" s="120">
        <f t="shared" si="31"/>
        <v>3</v>
      </c>
      <c r="BA14" s="120">
        <f t="shared" si="18"/>
        <v>0.57432432432432434</v>
      </c>
      <c r="BB14" s="120">
        <f t="shared" si="32"/>
        <v>0.60000000000000009</v>
      </c>
      <c r="BC14" s="121">
        <f t="shared" si="19"/>
        <v>2</v>
      </c>
      <c r="BD14" s="121">
        <f t="shared" si="20"/>
        <v>1</v>
      </c>
      <c r="BE14" s="120">
        <f t="shared" si="33"/>
        <v>2.5</v>
      </c>
      <c r="BF14" s="120">
        <f t="shared" si="21"/>
        <v>2.2999999999999998</v>
      </c>
      <c r="BG14" s="120">
        <f t="shared" si="22"/>
        <v>138</v>
      </c>
      <c r="BH14" s="120" t="e">
        <f t="shared" si="23"/>
        <v>#DIV/0!</v>
      </c>
      <c r="BI14" s="122">
        <f t="shared" si="24"/>
        <v>2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2609</v>
      </c>
      <c r="C15" s="155" t="s">
        <v>116</v>
      </c>
      <c r="D15" s="112"/>
      <c r="E15" s="113">
        <v>1</v>
      </c>
      <c r="F15" s="113" t="s">
        <v>138</v>
      </c>
      <c r="G15" s="111">
        <v>14</v>
      </c>
      <c r="H15" s="114"/>
      <c r="I15" s="111">
        <v>122</v>
      </c>
      <c r="J15" s="245" t="str">
        <f t="shared" si="25"/>
        <v>dead</v>
      </c>
      <c r="K15" s="245">
        <f t="shared" si="26"/>
        <v>14</v>
      </c>
      <c r="L15" s="246" t="str">
        <f t="shared" si="27"/>
        <v>+</v>
      </c>
      <c r="M15" s="247">
        <f t="shared" si="0"/>
        <v>3</v>
      </c>
      <c r="N15" s="248" t="str">
        <f t="shared" si="28"/>
        <v>x</v>
      </c>
      <c r="O15" s="249">
        <f t="shared" si="1"/>
        <v>122</v>
      </c>
      <c r="P15" s="250">
        <f t="shared" si="2"/>
        <v>74</v>
      </c>
      <c r="Q15" s="352">
        <f t="shared" si="29"/>
        <v>0.60000000000000009</v>
      </c>
      <c r="R15" s="250">
        <f t="shared" si="3"/>
        <v>62</v>
      </c>
      <c r="S15" s="353">
        <f t="shared" si="30"/>
        <v>0.7</v>
      </c>
      <c r="T15" s="113">
        <v>0</v>
      </c>
      <c r="U15" s="244">
        <f t="shared" si="4"/>
        <v>1</v>
      </c>
      <c r="V15" s="221" t="s">
        <v>2607</v>
      </c>
      <c r="W15" s="221" t="s">
        <v>2493</v>
      </c>
      <c r="X15" s="222" t="s">
        <v>153</v>
      </c>
      <c r="Y15" s="57"/>
      <c r="Z15" s="57"/>
      <c r="AA15" s="360">
        <f t="shared" si="5"/>
        <v>0.6</v>
      </c>
      <c r="AB15" s="355">
        <f t="shared" si="6"/>
        <v>2</v>
      </c>
      <c r="AC15" s="356">
        <f t="shared" si="7"/>
        <v>2.5</v>
      </c>
      <c r="AD15" s="357">
        <f t="shared" si="8"/>
        <v>1</v>
      </c>
      <c r="AE15" s="366">
        <f t="shared" si="9"/>
        <v>3.6666666666666665</v>
      </c>
      <c r="AF15" s="57" t="s">
        <v>27</v>
      </c>
      <c r="AG15" s="116">
        <f t="shared" si="10"/>
        <v>11.861111111111111</v>
      </c>
      <c r="AH15" s="113">
        <v>45</v>
      </c>
      <c r="AI15" s="113">
        <v>15</v>
      </c>
      <c r="AJ15" s="113">
        <v>40</v>
      </c>
      <c r="AK15" s="117"/>
      <c r="AL15" s="259">
        <f t="shared" si="11"/>
        <v>165</v>
      </c>
      <c r="AM15" s="118">
        <f t="shared" si="12"/>
        <v>56</v>
      </c>
      <c r="AN15" s="260">
        <f t="shared" si="13"/>
        <v>40</v>
      </c>
      <c r="AO15" s="118">
        <f t="shared" si="14"/>
        <v>112.5</v>
      </c>
      <c r="AP15" s="118">
        <f t="shared" si="15"/>
        <v>55</v>
      </c>
      <c r="AQ15" s="118">
        <f t="shared" si="16"/>
        <v>0</v>
      </c>
      <c r="AR15" s="119">
        <f t="shared" si="17"/>
        <v>428.5</v>
      </c>
      <c r="AS15" s="184"/>
      <c r="AZ15" s="120">
        <f t="shared" si="31"/>
        <v>3</v>
      </c>
      <c r="BA15" s="120">
        <f t="shared" si="18"/>
        <v>0.57432432432432434</v>
      </c>
      <c r="BB15" s="120">
        <f t="shared" si="32"/>
        <v>0.60000000000000009</v>
      </c>
      <c r="BC15" s="121">
        <f t="shared" si="19"/>
        <v>2</v>
      </c>
      <c r="BD15" s="121">
        <f t="shared" si="20"/>
        <v>1</v>
      </c>
      <c r="BE15" s="120">
        <f t="shared" si="33"/>
        <v>2.5</v>
      </c>
      <c r="BF15" s="120">
        <f t="shared" si="21"/>
        <v>2.2999999999999998</v>
      </c>
      <c r="BG15" s="120">
        <f t="shared" si="22"/>
        <v>138</v>
      </c>
      <c r="BH15" s="120" t="e">
        <f t="shared" si="23"/>
        <v>#DIV/0!</v>
      </c>
      <c r="BI15" s="122">
        <f t="shared" si="24"/>
        <v>2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2609</v>
      </c>
      <c r="C16" s="155" t="s">
        <v>116</v>
      </c>
      <c r="D16" s="112">
        <v>1</v>
      </c>
      <c r="E16" s="113"/>
      <c r="F16" s="113"/>
      <c r="G16" s="111">
        <v>48</v>
      </c>
      <c r="H16" s="114">
        <v>3.5</v>
      </c>
      <c r="I16" s="111">
        <v>135</v>
      </c>
      <c r="J16" s="245">
        <f t="shared" si="25"/>
        <v>0</v>
      </c>
      <c r="K16" s="245">
        <f t="shared" si="26"/>
        <v>48</v>
      </c>
      <c r="L16" s="246" t="str">
        <f t="shared" si="27"/>
        <v>+</v>
      </c>
      <c r="M16" s="247">
        <f t="shared" si="0"/>
        <v>13</v>
      </c>
      <c r="N16" s="248" t="str">
        <f t="shared" si="28"/>
        <v>x</v>
      </c>
      <c r="O16" s="249">
        <f t="shared" si="1"/>
        <v>135</v>
      </c>
      <c r="P16" s="250">
        <f t="shared" si="2"/>
        <v>74</v>
      </c>
      <c r="Q16" s="352">
        <f t="shared" si="29"/>
        <v>2.0999999999999996</v>
      </c>
      <c r="R16" s="250">
        <f t="shared" si="3"/>
        <v>62</v>
      </c>
      <c r="S16" s="353">
        <f t="shared" si="30"/>
        <v>2.4</v>
      </c>
      <c r="T16" s="113">
        <v>0</v>
      </c>
      <c r="U16" s="244">
        <f t="shared" si="4"/>
        <v>1</v>
      </c>
      <c r="V16" s="221" t="s">
        <v>2603</v>
      </c>
      <c r="W16" s="221" t="s">
        <v>2493</v>
      </c>
      <c r="X16" s="222" t="s">
        <v>153</v>
      </c>
      <c r="Y16" s="57"/>
      <c r="Z16" s="57"/>
      <c r="AA16" s="360">
        <f t="shared" si="5"/>
        <v>2.1</v>
      </c>
      <c r="AB16" s="355">
        <f t="shared" si="6"/>
        <v>4</v>
      </c>
      <c r="AC16" s="356">
        <f t="shared" si="7"/>
        <v>9</v>
      </c>
      <c r="AD16" s="357">
        <f t="shared" si="8"/>
        <v>3</v>
      </c>
      <c r="AE16" s="366">
        <f t="shared" si="9"/>
        <v>12.083333333333334</v>
      </c>
      <c r="AF16" s="57" t="s">
        <v>28</v>
      </c>
      <c r="AG16" s="116">
        <f t="shared" si="10"/>
        <v>45</v>
      </c>
      <c r="AH16" s="113">
        <v>45</v>
      </c>
      <c r="AI16" s="113">
        <v>15</v>
      </c>
      <c r="AJ16" s="113">
        <v>75</v>
      </c>
      <c r="AK16" s="117"/>
      <c r="AL16" s="259">
        <f t="shared" si="11"/>
        <v>330</v>
      </c>
      <c r="AM16" s="118">
        <f t="shared" si="12"/>
        <v>112</v>
      </c>
      <c r="AN16" s="260">
        <f t="shared" si="13"/>
        <v>75</v>
      </c>
      <c r="AO16" s="118">
        <f t="shared" si="14"/>
        <v>405</v>
      </c>
      <c r="AP16" s="118">
        <f t="shared" si="15"/>
        <v>181.25</v>
      </c>
      <c r="AQ16" s="118">
        <f t="shared" si="16"/>
        <v>0</v>
      </c>
      <c r="AR16" s="119">
        <f t="shared" si="17"/>
        <v>1103.25</v>
      </c>
      <c r="AS16" s="184"/>
      <c r="AZ16" s="120">
        <f t="shared" si="31"/>
        <v>13</v>
      </c>
      <c r="BA16" s="120">
        <f t="shared" si="18"/>
        <v>2.060810810810811</v>
      </c>
      <c r="BB16" s="120">
        <f t="shared" si="32"/>
        <v>2.0999999999999996</v>
      </c>
      <c r="BC16" s="121">
        <f t="shared" si="19"/>
        <v>4</v>
      </c>
      <c r="BD16" s="121">
        <f t="shared" si="20"/>
        <v>3</v>
      </c>
      <c r="BE16" s="120">
        <f t="shared" si="33"/>
        <v>9</v>
      </c>
      <c r="BF16" s="120">
        <f t="shared" si="21"/>
        <v>8.8083333333333336</v>
      </c>
      <c r="BG16" s="120">
        <f t="shared" si="22"/>
        <v>151</v>
      </c>
      <c r="BH16" s="120" t="e">
        <f t="shared" si="23"/>
        <v>#DIV/0!</v>
      </c>
      <c r="BI16" s="122">
        <f t="shared" si="24"/>
        <v>5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2609</v>
      </c>
      <c r="C17" s="155" t="s">
        <v>116</v>
      </c>
      <c r="D17" s="112"/>
      <c r="E17" s="113">
        <v>1</v>
      </c>
      <c r="F17" s="113" t="s">
        <v>138</v>
      </c>
      <c r="G17" s="111">
        <v>14</v>
      </c>
      <c r="H17" s="114"/>
      <c r="I17" s="111">
        <v>135</v>
      </c>
      <c r="J17" s="245" t="str">
        <f t="shared" si="25"/>
        <v>dead</v>
      </c>
      <c r="K17" s="245">
        <f t="shared" si="26"/>
        <v>14</v>
      </c>
      <c r="L17" s="246" t="str">
        <f t="shared" si="27"/>
        <v>+</v>
      </c>
      <c r="M17" s="247">
        <f t="shared" si="0"/>
        <v>3</v>
      </c>
      <c r="N17" s="248" t="str">
        <f t="shared" si="28"/>
        <v>x</v>
      </c>
      <c r="O17" s="249">
        <f t="shared" si="1"/>
        <v>135</v>
      </c>
      <c r="P17" s="250">
        <f t="shared" si="2"/>
        <v>74</v>
      </c>
      <c r="Q17" s="352">
        <f t="shared" si="29"/>
        <v>0.60000000000000009</v>
      </c>
      <c r="R17" s="250">
        <f t="shared" si="3"/>
        <v>62</v>
      </c>
      <c r="S17" s="353">
        <f t="shared" si="30"/>
        <v>0.7</v>
      </c>
      <c r="T17" s="113">
        <v>0</v>
      </c>
      <c r="U17" s="244">
        <f t="shared" si="4"/>
        <v>1</v>
      </c>
      <c r="V17" s="221" t="s">
        <v>2607</v>
      </c>
      <c r="W17" s="221" t="s">
        <v>2493</v>
      </c>
      <c r="X17" s="222" t="s">
        <v>153</v>
      </c>
      <c r="Y17" s="57"/>
      <c r="Z17" s="57"/>
      <c r="AA17" s="360">
        <f t="shared" si="5"/>
        <v>0.6</v>
      </c>
      <c r="AB17" s="355">
        <f t="shared" si="6"/>
        <v>2</v>
      </c>
      <c r="AC17" s="356">
        <f t="shared" si="7"/>
        <v>3</v>
      </c>
      <c r="AD17" s="357">
        <f t="shared" si="8"/>
        <v>1</v>
      </c>
      <c r="AE17" s="366">
        <f t="shared" si="9"/>
        <v>4.0277777777777777</v>
      </c>
      <c r="AF17" s="57" t="s">
        <v>29</v>
      </c>
      <c r="AG17" s="116">
        <f t="shared" si="10"/>
        <v>13.125</v>
      </c>
      <c r="AH17" s="113">
        <v>45</v>
      </c>
      <c r="AI17" s="113">
        <v>15</v>
      </c>
      <c r="AJ17" s="113">
        <v>40</v>
      </c>
      <c r="AK17" s="117"/>
      <c r="AL17" s="259">
        <f t="shared" si="11"/>
        <v>165</v>
      </c>
      <c r="AM17" s="118">
        <f t="shared" si="12"/>
        <v>56</v>
      </c>
      <c r="AN17" s="260">
        <f t="shared" si="13"/>
        <v>40</v>
      </c>
      <c r="AO17" s="118">
        <f t="shared" si="14"/>
        <v>135</v>
      </c>
      <c r="AP17" s="118">
        <f t="shared" si="15"/>
        <v>60.416666666666664</v>
      </c>
      <c r="AQ17" s="118">
        <f t="shared" si="16"/>
        <v>0</v>
      </c>
      <c r="AR17" s="119">
        <f t="shared" si="17"/>
        <v>456.41666666666669</v>
      </c>
      <c r="AS17" s="184"/>
      <c r="AZ17" s="120">
        <f t="shared" si="31"/>
        <v>3</v>
      </c>
      <c r="BA17" s="120">
        <f t="shared" si="18"/>
        <v>0.57432432432432434</v>
      </c>
      <c r="BB17" s="120">
        <f t="shared" si="32"/>
        <v>0.60000000000000009</v>
      </c>
      <c r="BC17" s="121">
        <f t="shared" si="19"/>
        <v>2</v>
      </c>
      <c r="BD17" s="121">
        <f t="shared" si="20"/>
        <v>1</v>
      </c>
      <c r="BE17" s="120">
        <f t="shared" si="33"/>
        <v>3</v>
      </c>
      <c r="BF17" s="120">
        <f t="shared" si="21"/>
        <v>2.5166666666666666</v>
      </c>
      <c r="BG17" s="120">
        <f t="shared" si="22"/>
        <v>151</v>
      </c>
      <c r="BH17" s="120" t="e">
        <f t="shared" si="23"/>
        <v>#DIV/0!</v>
      </c>
      <c r="BI17" s="122">
        <f t="shared" si="24"/>
        <v>2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2">
        <f t="shared" si="29"/>
        <v>0</v>
      </c>
      <c r="R18" s="250" t="str">
        <f t="shared" si="3"/>
        <v xml:space="preserve"> </v>
      </c>
      <c r="S18" s="353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60">
        <f t="shared" si="5"/>
        <v>0</v>
      </c>
      <c r="AB18" s="355">
        <f t="shared" si="6"/>
        <v>0</v>
      </c>
      <c r="AC18" s="356">
        <f t="shared" si="7"/>
        <v>0</v>
      </c>
      <c r="AD18" s="357" t="str">
        <f t="shared" si="8"/>
        <v xml:space="preserve"> </v>
      </c>
      <c r="AE18" s="366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2">
        <f t="shared" si="29"/>
        <v>0</v>
      </c>
      <c r="R19" s="250" t="str">
        <f t="shared" si="3"/>
        <v xml:space="preserve"> </v>
      </c>
      <c r="S19" s="353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60">
        <f t="shared" si="5"/>
        <v>0</v>
      </c>
      <c r="AB19" s="355">
        <f t="shared" si="6"/>
        <v>0</v>
      </c>
      <c r="AC19" s="356">
        <f t="shared" si="7"/>
        <v>0</v>
      </c>
      <c r="AD19" s="357" t="str">
        <f t="shared" si="8"/>
        <v xml:space="preserve"> </v>
      </c>
      <c r="AE19" s="366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2">
        <f t="shared" si="29"/>
        <v>0</v>
      </c>
      <c r="R20" s="250" t="str">
        <f t="shared" si="3"/>
        <v xml:space="preserve"> </v>
      </c>
      <c r="S20" s="353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0">
        <f t="shared" si="5"/>
        <v>0</v>
      </c>
      <c r="AB20" s="355">
        <f t="shared" si="6"/>
        <v>0</v>
      </c>
      <c r="AC20" s="356">
        <f t="shared" si="7"/>
        <v>0</v>
      </c>
      <c r="AD20" s="357" t="str">
        <f t="shared" si="8"/>
        <v xml:space="preserve"> </v>
      </c>
      <c r="AE20" s="366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2">
        <f t="shared" si="29"/>
        <v>0</v>
      </c>
      <c r="R21" s="250" t="str">
        <f t="shared" si="3"/>
        <v xml:space="preserve"> </v>
      </c>
      <c r="S21" s="353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60">
        <f t="shared" si="5"/>
        <v>0</v>
      </c>
      <c r="AB21" s="355">
        <f t="shared" si="6"/>
        <v>0</v>
      </c>
      <c r="AC21" s="356">
        <f t="shared" si="7"/>
        <v>0</v>
      </c>
      <c r="AD21" s="357" t="str">
        <f t="shared" si="8"/>
        <v xml:space="preserve"> </v>
      </c>
      <c r="AE21" s="366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2">
        <f t="shared" si="29"/>
        <v>0</v>
      </c>
      <c r="R22" s="250" t="str">
        <f t="shared" si="3"/>
        <v xml:space="preserve"> </v>
      </c>
      <c r="S22" s="353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60">
        <f t="shared" si="5"/>
        <v>0</v>
      </c>
      <c r="AB22" s="355">
        <f t="shared" si="6"/>
        <v>0</v>
      </c>
      <c r="AC22" s="356">
        <f t="shared" si="7"/>
        <v>0</v>
      </c>
      <c r="AD22" s="357" t="str">
        <f t="shared" si="8"/>
        <v xml:space="preserve"> </v>
      </c>
      <c r="AE22" s="366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7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2">
        <f t="shared" si="29"/>
        <v>0</v>
      </c>
      <c r="R23" s="250" t="str">
        <f t="shared" si="3"/>
        <v xml:space="preserve"> </v>
      </c>
      <c r="S23" s="353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60">
        <f t="shared" si="5"/>
        <v>0</v>
      </c>
      <c r="AB23" s="355">
        <f t="shared" si="6"/>
        <v>0</v>
      </c>
      <c r="AC23" s="356">
        <f t="shared" si="7"/>
        <v>0</v>
      </c>
      <c r="AD23" s="357" t="str">
        <f t="shared" si="8"/>
        <v xml:space="preserve"> </v>
      </c>
      <c r="AE23" s="366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2">
        <f t="shared" si="29"/>
        <v>0</v>
      </c>
      <c r="R24" s="250" t="str">
        <f t="shared" si="3"/>
        <v xml:space="preserve"> </v>
      </c>
      <c r="S24" s="353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60">
        <f t="shared" si="5"/>
        <v>0</v>
      </c>
      <c r="AB24" s="355">
        <f t="shared" si="6"/>
        <v>0</v>
      </c>
      <c r="AC24" s="356">
        <f t="shared" si="7"/>
        <v>0</v>
      </c>
      <c r="AD24" s="357" t="str">
        <f t="shared" si="8"/>
        <v xml:space="preserve"> </v>
      </c>
      <c r="AE24" s="366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2">
        <f t="shared" si="29"/>
        <v>0</v>
      </c>
      <c r="R25" s="250" t="str">
        <f t="shared" si="3"/>
        <v xml:space="preserve"> </v>
      </c>
      <c r="S25" s="353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2">
        <f t="shared" si="29"/>
        <v>0</v>
      </c>
      <c r="R26" s="250" t="str">
        <f t="shared" si="3"/>
        <v xml:space="preserve"> </v>
      </c>
      <c r="S26" s="353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2">
        <f t="shared" si="29"/>
        <v>0</v>
      </c>
      <c r="R27" s="250" t="str">
        <f t="shared" si="3"/>
        <v xml:space="preserve"> </v>
      </c>
      <c r="S27" s="353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2">
        <f t="shared" si="29"/>
        <v>0</v>
      </c>
      <c r="R28" s="250" t="str">
        <f t="shared" si="3"/>
        <v xml:space="preserve"> </v>
      </c>
      <c r="S28" s="353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2">
        <f t="shared" si="29"/>
        <v>0</v>
      </c>
      <c r="R29" s="250" t="str">
        <f t="shared" si="3"/>
        <v xml:space="preserve"> </v>
      </c>
      <c r="S29" s="353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2">
        <f t="shared" si="29"/>
        <v>0</v>
      </c>
      <c r="R30" s="250" t="str">
        <f t="shared" si="3"/>
        <v xml:space="preserve"> </v>
      </c>
      <c r="S30" s="353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8">
        <f>SUM(AC11:AC30)</f>
        <v>27.5</v>
      </c>
      <c r="AD31" s="359"/>
      <c r="AE31" s="354">
        <f>SUM(AE11:AE30)</f>
        <v>37.888888888888893</v>
      </c>
      <c r="AF31" s="123" t="s">
        <v>16</v>
      </c>
      <c r="AG31" s="124"/>
      <c r="AL31" s="125">
        <f t="shared" ref="AL31:AQ31" si="34">SUM(AL11:AL30)</f>
        <v>1485</v>
      </c>
      <c r="AM31" s="126">
        <f t="shared" si="34"/>
        <v>504</v>
      </c>
      <c r="AN31" s="127">
        <f t="shared" si="34"/>
        <v>340</v>
      </c>
      <c r="AO31" s="162">
        <f t="shared" si="34"/>
        <v>1237.5</v>
      </c>
      <c r="AP31" s="162">
        <f t="shared" si="34"/>
        <v>568.33333333333326</v>
      </c>
      <c r="AQ31" s="162">
        <f t="shared" si="34"/>
        <v>0</v>
      </c>
      <c r="AR31" s="158">
        <f>SUM(AL31:AQ31)</f>
        <v>4134.833333333333</v>
      </c>
      <c r="AS31" s="184"/>
      <c r="AW31" s="398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3"/>
      <c r="P32" s="304"/>
      <c r="Q32" s="304"/>
      <c r="R32" s="57"/>
      <c r="S32" s="57"/>
      <c r="T32" s="57"/>
      <c r="U32" s="66"/>
      <c r="V32" s="339" t="s">
        <v>39</v>
      </c>
      <c r="W32" s="255"/>
      <c r="X32" s="255"/>
      <c r="Y32" s="301" t="s">
        <v>2537</v>
      </c>
      <c r="Z32" s="340">
        <f>AC31+'Worksheet 2'!AC31</f>
        <v>27.5</v>
      </c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7" t="s">
        <v>37</v>
      </c>
      <c r="AQ32" s="395">
        <f>'Worksheet 2'!AR31</f>
        <v>0</v>
      </c>
      <c r="AR32" s="394">
        <f>AR31+AQ32+AM35</f>
        <v>4135.0033333333331</v>
      </c>
      <c r="AS32" s="393" t="s">
        <v>2582</v>
      </c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134" t="s">
        <v>2612</v>
      </c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1" t="s">
        <v>2538</v>
      </c>
      <c r="Z33" s="340">
        <f>AE31+'Worksheet 2'!AE31</f>
        <v>37.888888888888893</v>
      </c>
      <c r="AA33" s="43"/>
      <c r="AB33" s="441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1">
        <v>10</v>
      </c>
      <c r="AR33" s="402">
        <v>900</v>
      </c>
      <c r="AS33" s="186"/>
      <c r="AX33" s="435" t="s">
        <v>2589</v>
      </c>
      <c r="AY33" s="435"/>
      <c r="AZ33" s="435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2" t="s">
        <v>2539</v>
      </c>
      <c r="O34" s="340">
        <f>SUM(Q43+S43+'Worksheet 2'!O34)/sew_price*10</f>
        <v>3.0636363636363639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3">
        <f>+IF(AR32&lt;500,AZ34,IF(AR32&lt;1000,AZ35,IF(AR32&lt;3000,AZ36,IF(AR32&lt;8000,AZ37,IF(AR32&gt;7999,AZ38," ")))))</f>
        <v>250</v>
      </c>
      <c r="AS34" s="186"/>
      <c r="AX34" s="442" t="s">
        <v>2584</v>
      </c>
      <c r="AY34" s="442"/>
      <c r="AZ34" s="399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2612</v>
      </c>
      <c r="G35" s="57" t="s">
        <v>2613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1" t="s">
        <v>2593</v>
      </c>
      <c r="AM35" s="410">
        <v>0.17</v>
      </c>
      <c r="AN35" s="409" t="s">
        <v>12</v>
      </c>
      <c r="AP35" s="137" t="s">
        <v>2518</v>
      </c>
      <c r="AQ35" s="128"/>
      <c r="AR35" s="193"/>
      <c r="AS35" s="187"/>
      <c r="AX35" s="442" t="s">
        <v>2585</v>
      </c>
      <c r="AY35" s="442"/>
      <c r="AZ35" s="399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6" t="s">
        <v>18</v>
      </c>
      <c r="AQ36" s="43"/>
      <c r="AR36" s="143">
        <f>AR32+AQ33+AR33+AR34+AR35</f>
        <v>5295.0033333333331</v>
      </c>
      <c r="AS36" s="187"/>
      <c r="AT36" s="182" t="b">
        <v>0</v>
      </c>
      <c r="AX36" s="434" t="s">
        <v>2586</v>
      </c>
      <c r="AY36" s="434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36" t="s">
        <v>20</v>
      </c>
      <c r="W37" s="437"/>
      <c r="X37" s="78" t="s">
        <v>2611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6" t="s">
        <v>21</v>
      </c>
      <c r="AR37" s="407">
        <f>IF($AT$36=TRUE,(AR32-(AL31+AM31+'Worksheet 2'!AL31+'Worksheet 2'!AM31))*AN37, AR36*AN37)</f>
        <v>0</v>
      </c>
      <c r="AS37" s="186"/>
      <c r="AT37" s="198"/>
      <c r="AX37" s="434" t="s">
        <v>2587</v>
      </c>
      <c r="AY37" s="434"/>
      <c r="AZ37" s="400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3"/>
      <c r="AQ38" s="408" t="s">
        <v>22</v>
      </c>
      <c r="AR38" s="405">
        <f>SUM(AR36:AR37)</f>
        <v>5295.0033333333331</v>
      </c>
      <c r="AS38" s="188"/>
      <c r="AX38" s="434" t="s">
        <v>2588</v>
      </c>
      <c r="AY38" s="434"/>
      <c r="AZ38" s="400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0">
        <f>SUM(Q11:Q30)</f>
        <v>7.85</v>
      </c>
      <c r="S43" s="350">
        <f>SUM(S11:S30)</f>
        <v>9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93DA8555-FEAE-4B05-AA55-169350B37798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3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85" zoomScaleNormal="100" zoomScaleSheetLayoutView="100" workbookViewId="0">
      <selection activeCell="R95" sqref="C1:R95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 xml:space="preserve">         Yamhill OR-chapel  WO#J5135826-00333</v>
      </c>
      <c r="E1" s="22"/>
      <c r="F1" s="23"/>
      <c r="G1" s="22"/>
      <c r="H1" s="24"/>
      <c r="I1" s="25">
        <f>+Worksheet!$AR$1</f>
        <v>33297</v>
      </c>
      <c r="J1" s="26"/>
      <c r="L1" s="164" t="s">
        <v>107</v>
      </c>
      <c r="M1" s="21" t="str">
        <f>+Worksheet!$W$4</f>
        <v xml:space="preserve">         Yamhill OR-chapel  WO#J5135826-00333</v>
      </c>
      <c r="N1" s="22"/>
      <c r="O1" s="23"/>
      <c r="P1" s="22"/>
      <c r="Q1" s="24"/>
      <c r="R1" s="25">
        <f>+Worksheet!$AR$1</f>
        <v>33297</v>
      </c>
    </row>
    <row r="2" spans="1:18" ht="33" customHeight="1">
      <c r="C2" s="165" t="s">
        <v>122</v>
      </c>
      <c r="D2" s="150" cm="1">
        <f t="array" aca="1" ref="D2" ca="1">INDIRECT("'Worksheet'!$K"&amp;$B1)</f>
        <v>14</v>
      </c>
      <c r="E2" s="151" t="s">
        <v>109</v>
      </c>
      <c r="F2" s="150" cm="1">
        <f t="array" aca="1" ref="F2" ca="1">INDIRECT("'Worksheet'!$M"&amp;$B1)</f>
        <v>3</v>
      </c>
      <c r="G2" s="151" t="s">
        <v>116</v>
      </c>
      <c r="H2" s="150" cm="1">
        <f t="array" aca="1" ref="H2" ca="1">INDIRECT("'Worksheet'!$O"&amp;$B1)</f>
        <v>135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14</v>
      </c>
      <c r="N2" s="151" t="s">
        <v>109</v>
      </c>
      <c r="O2" s="152">
        <f ca="1">F2</f>
        <v>3</v>
      </c>
      <c r="P2" s="151" t="s">
        <v>116</v>
      </c>
      <c r="Q2" s="153">
        <f ca="1">H2</f>
        <v>135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42.5</v>
      </c>
      <c r="E3" s="19" t="s">
        <v>116</v>
      </c>
      <c r="F3" s="367">
        <f ca="1">H2+15</f>
        <v>150</v>
      </c>
      <c r="G3" s="447" cm="1">
        <f t="array" aca="1" ref="G3" ca="1">INDIRECT("'Worksheet'!$Y"&amp;$B1)</f>
        <v>0</v>
      </c>
      <c r="H3" s="447"/>
      <c r="I3" s="448"/>
      <c r="L3" s="164" t="s">
        <v>115</v>
      </c>
      <c r="M3">
        <f t="shared" ca="1" si="0"/>
        <v>42.5</v>
      </c>
      <c r="N3" s="19" t="s">
        <v>116</v>
      </c>
      <c r="O3" s="367">
        <f ca="1">F3</f>
        <v>150</v>
      </c>
      <c r="P3" s="449">
        <f ca="1">G3</f>
        <v>0</v>
      </c>
      <c r="Q3" s="449"/>
      <c r="R3" s="450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0.60000000000000009</v>
      </c>
      <c r="E4" s="42" t="s">
        <v>40</v>
      </c>
      <c r="F4" s="368"/>
      <c r="G4" s="447"/>
      <c r="H4" s="447"/>
      <c r="I4" s="448"/>
      <c r="L4" s="166"/>
      <c r="M4" s="161">
        <f t="shared" ca="1" si="0"/>
        <v>0.60000000000000009</v>
      </c>
      <c r="N4" s="42" t="s">
        <v>40</v>
      </c>
      <c r="O4" s="368"/>
      <c r="P4" s="449"/>
      <c r="Q4" s="451"/>
      <c r="R4" s="452"/>
    </row>
    <row r="5" spans="1:18" ht="15.6">
      <c r="C5" s="164" t="s">
        <v>129</v>
      </c>
      <c r="D5" s="19">
        <f ca="1">+IF(D9="yes",IF($D11="Left of Pair",($D6*$H9),IF($D11="Panel",$D6*$H9,IF($H11="SOR",$D6*$H9," ")))," ")</f>
        <v>43.4</v>
      </c>
      <c r="E5" s="19" t="s">
        <v>116</v>
      </c>
      <c r="F5" s="367">
        <f ca="1">IF(D9="YES",H2+12," ")</f>
        <v>147</v>
      </c>
      <c r="H5" s="341" t="s">
        <v>10</v>
      </c>
      <c r="I5" s="369" cm="1">
        <f t="array" aca="1" ref="I5" ca="1">INDIRECT("'Worksheet'!$Q"&amp;B1)</f>
        <v>0.60000000000000009</v>
      </c>
      <c r="L5" s="164" t="s">
        <v>129</v>
      </c>
      <c r="M5">
        <f t="shared" ca="1" si="0"/>
        <v>43.4</v>
      </c>
      <c r="N5" s="19" t="s">
        <v>116</v>
      </c>
      <c r="O5" s="367">
        <f ca="1">F5</f>
        <v>147</v>
      </c>
      <c r="P5" s="19"/>
      <c r="Q5" s="341" t="s">
        <v>10</v>
      </c>
      <c r="R5" s="160">
        <f ca="1">I5</f>
        <v>0.60000000000000009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0.7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17</v>
      </c>
      <c r="L6" s="167"/>
      <c r="M6" s="342">
        <f t="shared" ca="1" si="0"/>
        <v>0.7</v>
      </c>
      <c r="N6" s="343" t="s">
        <v>40</v>
      </c>
      <c r="O6" s="370"/>
      <c r="P6" s="20"/>
      <c r="Q6" s="341" t="s">
        <v>110</v>
      </c>
      <c r="R6" s="32">
        <f ca="1">I6</f>
        <v>17</v>
      </c>
    </row>
    <row r="7" spans="1:18" ht="15" customHeight="1">
      <c r="C7" s="168" t="s">
        <v>108</v>
      </c>
      <c r="D7" s="371" t="str" cm="1">
        <f t="array" aca="1" ref="D7" ca="1">INDIRECT("'Worksheet'!$B"&amp;$B1)</f>
        <v>Chapel L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8" t="s">
        <v>108</v>
      </c>
      <c r="M7" s="31" t="str">
        <f t="shared" ca="1" si="0"/>
        <v>Chapel L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4" t="s">
        <v>111</v>
      </c>
      <c r="D8" s="344" cm="1">
        <f t="array" aca="1" ref="D8" ca="1">INDIRECT("'Worksheet'!$H"&amp;$B1)</f>
        <v>0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45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45"/>
    </row>
    <row r="9" spans="1:18" ht="15.75" customHeight="1">
      <c r="C9" s="164" t="s">
        <v>113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62</v>
      </c>
      <c r="I9" s="445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62</v>
      </c>
      <c r="R9" s="445"/>
    </row>
    <row r="10" spans="1:18" ht="15.75" customHeight="1">
      <c r="C10" s="164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46"/>
      <c r="L10" s="164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46"/>
    </row>
    <row r="11" spans="1:18" ht="22.8">
      <c r="C11" s="346" t="str" cm="1">
        <f t="array" aca="1" ref="C11" ca="1">INDIRECT("'Worksheet'!$J"&amp;$B1)</f>
        <v>dead</v>
      </c>
      <c r="D11" s="443" t="str" cm="1">
        <f t="array" aca="1" ref="D11" ca="1">IF(INDIRECT("'Worksheet'!$D"&amp;$B1)=1, "Left of Pair", IF(INDIRECT("'Worksheet'!$E"&amp;$B1)=1, "Panel"))</f>
        <v>Panel</v>
      </c>
      <c r="E11" s="443"/>
      <c r="F11" s="443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 t="str">
        <f ca="1">$C11</f>
        <v>dead</v>
      </c>
      <c r="M11" s="443" t="str" cm="1">
        <f t="array" aca="1" ref="M11" ca="1">IF(INDIRECT("'Worksheet'!$D"&amp;$B1)=1, "Right of Pair", IF(INDIRECT("'Worksheet'!$E"&amp;$B1)=1, "Do Not Use"))</f>
        <v>Do Not Use</v>
      </c>
      <c r="N11" s="443"/>
      <c r="O11" s="443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 xml:space="preserve">         Yamhill OR-chapel  WO#J5135826-00333</v>
      </c>
      <c r="E15" s="22"/>
      <c r="F15" s="23"/>
      <c r="G15" s="22"/>
      <c r="H15" s="24"/>
      <c r="I15" s="25">
        <f>+Worksheet!$AR$1</f>
        <v>33297</v>
      </c>
      <c r="J15" s="26"/>
      <c r="L15" s="164" t="s">
        <v>107</v>
      </c>
      <c r="M15" s="21" t="str">
        <f>+Worksheet!$W$4</f>
        <v xml:space="preserve">         Yamhill OR-chapel  WO#J5135826-00333</v>
      </c>
      <c r="N15" s="22"/>
      <c r="O15" s="23"/>
      <c r="P15" s="22"/>
      <c r="Q15" s="24"/>
      <c r="R15" s="25">
        <f>+Worksheet!$AR$1</f>
        <v>33297</v>
      </c>
    </row>
    <row r="16" spans="1:18" ht="33" customHeight="1">
      <c r="C16" s="165" t="s">
        <v>122</v>
      </c>
      <c r="D16" s="150" cm="1">
        <f t="array" aca="1" ref="D16" ca="1">INDIRECT("'Worksheet'!$K"&amp;$B15)</f>
        <v>36</v>
      </c>
      <c r="E16" s="151" t="s">
        <v>109</v>
      </c>
      <c r="F16" s="150" cm="1">
        <f t="array" aca="1" ref="F16" ca="1">INDIRECT("'Worksheet'!$M"&amp;$B15)</f>
        <v>0</v>
      </c>
      <c r="G16" s="151" t="s">
        <v>116</v>
      </c>
      <c r="H16" s="150" cm="1">
        <f t="array" aca="1" ref="H16" ca="1">INDIRECT("'Worksheet'!$O"&amp;$B15)</f>
        <v>74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36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74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90</v>
      </c>
      <c r="E17" s="19" t="s">
        <v>116</v>
      </c>
      <c r="F17" s="367">
        <f ca="1">H16+15</f>
        <v>89</v>
      </c>
      <c r="G17" s="447" t="str" cm="1">
        <f t="array" aca="1" ref="G17" ca="1">INDIRECT("'Worksheet'!$Y"&amp;$B15)</f>
        <v>1 1/2" T&amp;B</v>
      </c>
      <c r="H17" s="447"/>
      <c r="I17" s="448"/>
      <c r="L17" s="164" t="s">
        <v>115</v>
      </c>
      <c r="M17">
        <f t="shared" ca="1" si="1"/>
        <v>90</v>
      </c>
      <c r="N17" s="19" t="s">
        <v>116</v>
      </c>
      <c r="O17" s="367">
        <f ca="1">F17</f>
        <v>89</v>
      </c>
      <c r="P17" s="449" t="str">
        <f ca="1">G17</f>
        <v>1 1/2" T&amp;B</v>
      </c>
      <c r="Q17" s="449"/>
      <c r="R17" s="450"/>
    </row>
    <row r="18" spans="1:18" ht="16.2" customHeight="1">
      <c r="C18" s="166"/>
      <c r="D18" s="161" cm="1">
        <f t="array" aca="1" ref="D18" ca="1">IF($D25="Left of Pair",INDIRECT("'Worksheet'!$Q"&amp;$B15)/2,IF($D25="Panel",INDIRECT("'Worksheet'!$Q"&amp;$B15)))</f>
        <v>1.25</v>
      </c>
      <c r="E18" s="42" t="s">
        <v>40</v>
      </c>
      <c r="F18" s="368"/>
      <c r="G18" s="447"/>
      <c r="H18" s="447"/>
      <c r="I18" s="448"/>
      <c r="L18" s="166"/>
      <c r="M18" s="161">
        <f t="shared" ca="1" si="1"/>
        <v>1.25</v>
      </c>
      <c r="N18" s="42" t="s">
        <v>40</v>
      </c>
      <c r="O18" s="368"/>
      <c r="P18" s="449"/>
      <c r="Q18" s="451"/>
      <c r="R18" s="452"/>
    </row>
    <row r="19" spans="1:18" ht="15.6">
      <c r="C19" s="164" t="s">
        <v>129</v>
      </c>
      <c r="D19" s="19">
        <f ca="1">+IF(D23="yes",IF($D25="Left of Pair",($D20*$H23),IF($D25="Panel",$D20*$H23,IF($H25="SOR",$D20*$H23," ")))," ")</f>
        <v>86.8</v>
      </c>
      <c r="E19" s="19" t="s">
        <v>116</v>
      </c>
      <c r="F19" s="367">
        <f ca="1">IF(D23="YES",H16+12," ")</f>
        <v>86</v>
      </c>
      <c r="H19" s="341" t="s">
        <v>10</v>
      </c>
      <c r="I19" s="369" cm="1">
        <f t="array" aca="1" ref="I19" ca="1">INDIRECT("'Worksheet'!$Q"&amp;B15)</f>
        <v>1.25</v>
      </c>
      <c r="L19" s="164" t="s">
        <v>129</v>
      </c>
      <c r="M19">
        <f t="shared" ca="1" si="1"/>
        <v>86.8</v>
      </c>
      <c r="N19" s="19" t="s">
        <v>116</v>
      </c>
      <c r="O19" s="367">
        <f ca="1">F19</f>
        <v>86</v>
      </c>
      <c r="P19" s="19"/>
      <c r="Q19" s="341" t="s">
        <v>10</v>
      </c>
      <c r="R19" s="160">
        <f ca="1">I19</f>
        <v>1.25</v>
      </c>
    </row>
    <row r="20" spans="1:18" ht="15.6">
      <c r="C20" s="167"/>
      <c r="D20" s="161" cm="1">
        <f t="array" aca="1" ref="D20" ca="1">IF(D23="yes",IF($D25="Left of Pair",INDIRECT("'Worksheet'!$S"&amp;$B15)/2,IF($D25="Panel",INDIRECT("'Worksheet'!$S"&amp;$B15)))," ")</f>
        <v>1.4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36</v>
      </c>
      <c r="L20" s="167"/>
      <c r="M20" s="342">
        <f t="shared" ca="1" si="1"/>
        <v>1.4</v>
      </c>
      <c r="N20" s="343" t="s">
        <v>40</v>
      </c>
      <c r="O20" s="370"/>
      <c r="P20" s="20"/>
      <c r="Q20" s="341" t="s">
        <v>110</v>
      </c>
      <c r="R20" s="32">
        <f ca="1">I20</f>
        <v>36</v>
      </c>
    </row>
    <row r="21" spans="1:18" ht="12.75" customHeight="1">
      <c r="C21" s="168" t="s">
        <v>108</v>
      </c>
      <c r="D21" s="371" t="str" cm="1">
        <f t="array" aca="1" ref="D21" ca="1">INDIRECT("'Worksheet'!$B"&amp;$B15)</f>
        <v>Chapel door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8" t="s">
        <v>108</v>
      </c>
      <c r="M21" s="31" t="str">
        <f t="shared" ca="1" si="1"/>
        <v>Chapel door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4" t="s">
        <v>111</v>
      </c>
      <c r="D22" s="344" cm="1">
        <f t="array" aca="1" ref="D22" ca="1">INDIRECT("'Worksheet'!$H"&amp;$B15)</f>
        <v>0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45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5"/>
    </row>
    <row r="23" spans="1:18" ht="15.75" customHeight="1">
      <c r="C23" s="164" t="s">
        <v>113</v>
      </c>
      <c r="D23" s="37" t="str">
        <f ca="1">IF($E23&gt;0,"YES"," ")</f>
        <v>YES</v>
      </c>
      <c r="E23" s="345" t="str" cm="1">
        <f t="array" aca="1" ref="E23" ca="1">INDIRECT("'Worksheet'!$X"&amp;$B15)</f>
        <v xml:space="preserve">Flameguard </v>
      </c>
      <c r="F23" s="39"/>
      <c r="G23" s="20"/>
      <c r="H23" s="390" cm="1">
        <f t="array" aca="1" ref="H23" ca="1">INDIRECT("'Worksheet'!$R"&amp;$B15)</f>
        <v>62</v>
      </c>
      <c r="I23" s="445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1">
        <f ca="1">H23</f>
        <v>62</v>
      </c>
      <c r="R23" s="445"/>
    </row>
    <row r="24" spans="1:18" ht="15.75" customHeight="1">
      <c r="C24" s="164" t="s">
        <v>12</v>
      </c>
      <c r="D24" s="345" t="str" cm="1">
        <f t="array" aca="1" ref="D24" ca="1">INDIRECT("'Worksheet'!$W"&amp;$B15)</f>
        <v>5th Avenue 72</v>
      </c>
      <c r="E24" s="22"/>
      <c r="F24" s="23"/>
      <c r="G24" s="22"/>
      <c r="H24" s="390" cm="1">
        <f t="array" aca="1" ref="H24" ca="1">INDIRECT("'Worksheet'!$P"&amp;$B15)</f>
        <v>74</v>
      </c>
      <c r="I24" s="446"/>
      <c r="L24" s="164" t="s">
        <v>12</v>
      </c>
      <c r="M24" s="21" t="str">
        <f t="shared" ca="1" si="1"/>
        <v>5th Avenue 72</v>
      </c>
      <c r="N24" s="22"/>
      <c r="O24" s="23"/>
      <c r="P24" s="22"/>
      <c r="Q24" s="391">
        <f ca="1">H24</f>
        <v>74</v>
      </c>
      <c r="R24" s="446"/>
    </row>
    <row r="25" spans="1:18" ht="22.8">
      <c r="C25" s="346" t="str" cm="1">
        <f t="array" aca="1" ref="C25" ca="1">INDIRECT("'Worksheet'!$J"&amp;$B15)</f>
        <v>sor t&amp;b</v>
      </c>
      <c r="D25" s="443" t="str" cm="1">
        <f t="array" aca="1" ref="D25" ca="1">IF(INDIRECT("'Worksheet'!$D"&amp;$B15)=1, "Left of Pair", IF(INDIRECT("'Worksheet'!$E"&amp;$B15)=1, "Panel"))</f>
        <v>Panel</v>
      </c>
      <c r="E25" s="443"/>
      <c r="F25" s="443"/>
      <c r="G25" s="372"/>
      <c r="H25" s="372" t="str" cm="1">
        <f t="array" aca="1" ref="H25" ca="1">IF(INDIRECT("'Worksheet'!$F"&amp;$B15)="st","SOR T&amp;B"," ")</f>
        <v>SOR T&amp;B</v>
      </c>
      <c r="I25" s="373"/>
      <c r="L25" s="41" t="str">
        <f ca="1">$C25</f>
        <v>sor t&amp;b</v>
      </c>
      <c r="M25" s="443" t="str" cm="1">
        <f t="array" aca="1" ref="M25" ca="1">IF(INDIRECT("'Worksheet'!$D"&amp;$B15)=1, "Right of Pair", IF(INDIRECT("'Worksheet'!$E"&amp;$B15)=1, "Do Not Use"))</f>
        <v>Do Not Use</v>
      </c>
      <c r="N25" s="443"/>
      <c r="O25" s="443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+Worksheet!$W$4</f>
        <v xml:space="preserve">         Yamhill OR-chapel  WO#J5135826-00333</v>
      </c>
      <c r="E29" s="22"/>
      <c r="F29" s="23"/>
      <c r="G29" s="22"/>
      <c r="H29" s="24"/>
      <c r="I29" s="25">
        <f>+Worksheet!$AR$1</f>
        <v>33297</v>
      </c>
      <c r="J29" s="26"/>
      <c r="L29" s="164" t="s">
        <v>107</v>
      </c>
      <c r="M29" s="21" t="str">
        <f>+Worksheet!$W$4</f>
        <v xml:space="preserve">         Yamhill OR-chapel  WO#J5135826-00333</v>
      </c>
      <c r="N29" s="22"/>
      <c r="O29" s="23"/>
      <c r="P29" s="22"/>
      <c r="Q29" s="24"/>
      <c r="R29" s="25">
        <f>+Worksheet!$AR$1</f>
        <v>33297</v>
      </c>
    </row>
    <row r="30" spans="1:18" ht="33" customHeight="1">
      <c r="C30" s="165" t="s">
        <v>122</v>
      </c>
      <c r="D30" s="150" cm="1">
        <f t="array" aca="1" ref="D30" ca="1">INDIRECT("'Worksheet'!$K"&amp;$B29)</f>
        <v>48</v>
      </c>
      <c r="E30" s="151" t="s">
        <v>109</v>
      </c>
      <c r="F30" s="150" cm="1">
        <f t="array" aca="1" ref="F30" ca="1">INDIRECT("'Worksheet'!$M"&amp;$B29)</f>
        <v>13</v>
      </c>
      <c r="G30" s="151" t="s">
        <v>116</v>
      </c>
      <c r="H30" s="150" cm="1">
        <f t="array" aca="1" ref="H30" ca="1">INDIRECT("'Worksheet'!$O"&amp;$B29)</f>
        <v>59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48</v>
      </c>
      <c r="N30" s="151" t="s">
        <v>109</v>
      </c>
      <c r="O30" s="152">
        <f ca="1">F30</f>
        <v>13</v>
      </c>
      <c r="P30" s="151" t="s">
        <v>116</v>
      </c>
      <c r="Q30" s="153">
        <f ca="1">H30</f>
        <v>59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76.25</v>
      </c>
      <c r="E31" s="19" t="s">
        <v>116</v>
      </c>
      <c r="F31" s="367">
        <f ca="1">H30+15</f>
        <v>74</v>
      </c>
      <c r="G31" s="447" cm="1">
        <f t="array" aca="1" ref="G31" ca="1">INDIRECT("'Worksheet'!$Y"&amp;$B29)</f>
        <v>0</v>
      </c>
      <c r="H31" s="447"/>
      <c r="I31" s="448"/>
      <c r="L31" s="164" t="s">
        <v>115</v>
      </c>
      <c r="M31">
        <f t="shared" ca="1" si="2"/>
        <v>76.25</v>
      </c>
      <c r="N31" s="19" t="s">
        <v>116</v>
      </c>
      <c r="O31" s="367">
        <f ca="1">F31</f>
        <v>74</v>
      </c>
      <c r="P31" s="449">
        <f ca="1">G31</f>
        <v>0</v>
      </c>
      <c r="Q31" s="449"/>
      <c r="R31" s="450"/>
    </row>
    <row r="32" spans="1:18" ht="16.95" customHeight="1">
      <c r="C32" s="166"/>
      <c r="D32" s="161" cm="1">
        <f t="array" aca="1" ref="D32" ca="1">IF($D39="Left of Pair",INDIRECT("'Worksheet'!$Q"&amp;$B29)/2,IF($D39="Panel",INDIRECT("'Worksheet'!$Q"&amp;$B29)))</f>
        <v>1.0499999999999998</v>
      </c>
      <c r="E32" s="42" t="s">
        <v>40</v>
      </c>
      <c r="F32" s="368"/>
      <c r="G32" s="447"/>
      <c r="H32" s="447"/>
      <c r="I32" s="448"/>
      <c r="L32" s="166"/>
      <c r="M32" s="161">
        <f t="shared" ca="1" si="2"/>
        <v>1.0499999999999998</v>
      </c>
      <c r="N32" s="42" t="s">
        <v>40</v>
      </c>
      <c r="O32" s="368"/>
      <c r="P32" s="449"/>
      <c r="Q32" s="451"/>
      <c r="R32" s="452"/>
    </row>
    <row r="33" spans="1:18" ht="15.6">
      <c r="C33" s="164" t="s">
        <v>129</v>
      </c>
      <c r="D33" s="19">
        <f ca="1">+IF(D37="yes",IF($D39="Left of Pair",($D34*$H37),IF($D39="Panel",$D34*$H37,IF($H39="SOR",$D34*$H37," ")))," ")</f>
        <v>74.399999999999991</v>
      </c>
      <c r="E33" s="19" t="s">
        <v>116</v>
      </c>
      <c r="F33" s="367">
        <f ca="1">IF(D37="YES",H30+12," ")</f>
        <v>71</v>
      </c>
      <c r="H33" s="341" t="s">
        <v>10</v>
      </c>
      <c r="I33" s="369" cm="1">
        <f t="array" aca="1" ref="I33" ca="1">INDIRECT("'Worksheet'!$Q"&amp;B29)</f>
        <v>2.0999999999999996</v>
      </c>
      <c r="L33" s="164" t="s">
        <v>129</v>
      </c>
      <c r="M33">
        <f t="shared" ca="1" si="2"/>
        <v>74.399999999999991</v>
      </c>
      <c r="N33" s="19" t="s">
        <v>116</v>
      </c>
      <c r="O33" s="367">
        <f ca="1">F33</f>
        <v>71</v>
      </c>
      <c r="P33" s="19"/>
      <c r="Q33" s="341" t="s">
        <v>10</v>
      </c>
      <c r="R33" s="160">
        <f ca="1">I33</f>
        <v>2.0999999999999996</v>
      </c>
    </row>
    <row r="34" spans="1:18" ht="15.6">
      <c r="C34" s="167"/>
      <c r="D34" s="161" cm="1">
        <f t="array" aca="1" ref="D34" ca="1">IF(D37="yes",IF($D39="Left of Pair",INDIRECT("'Worksheet'!$S"&amp;$B29)/2,IF($D39="Panel",INDIRECT("'Worksheet'!$S"&amp;$B29)))," ")</f>
        <v>1.2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30.5</v>
      </c>
      <c r="L34" s="167"/>
      <c r="M34" s="342">
        <f t="shared" ca="1" si="2"/>
        <v>1.2</v>
      </c>
      <c r="N34" s="343" t="s">
        <v>40</v>
      </c>
      <c r="O34" s="370"/>
      <c r="P34" s="20"/>
      <c r="Q34" s="341" t="s">
        <v>110</v>
      </c>
      <c r="R34" s="32">
        <f ca="1">I34</f>
        <v>30.5</v>
      </c>
    </row>
    <row r="35" spans="1:18" ht="12.75" customHeight="1">
      <c r="C35" s="168" t="s">
        <v>108</v>
      </c>
      <c r="D35" s="371" t="str" cm="1">
        <f t="array" aca="1" ref="D35" ca="1">INDIRECT("'Worksheet'!$B"&amp;$B29)</f>
        <v>Chapel L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8" t="s">
        <v>108</v>
      </c>
      <c r="M35" s="31" t="str">
        <f t="shared" ca="1" si="2"/>
        <v>Chapel L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4" t="s">
        <v>111</v>
      </c>
      <c r="D36" s="344" cm="1">
        <f t="array" aca="1" ref="D36" ca="1">INDIRECT("'Worksheet'!$H"&amp;$B29)</f>
        <v>3.5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45"/>
      <c r="L36" s="164" t="s">
        <v>111</v>
      </c>
      <c r="M36" s="34">
        <f t="shared" ca="1" si="2"/>
        <v>3.5</v>
      </c>
      <c r="N36" s="20"/>
      <c r="O36" s="169" t="s">
        <v>112</v>
      </c>
      <c r="P36" s="35"/>
      <c r="Q36" s="36" t="str">
        <f>H36</f>
        <v>Yes</v>
      </c>
      <c r="R36" s="445"/>
    </row>
    <row r="37" spans="1:18" ht="15.75" customHeight="1">
      <c r="C37" s="164" t="s">
        <v>113</v>
      </c>
      <c r="D37" s="37" t="str">
        <f ca="1">IF($E37&gt;0,"YES"," ")</f>
        <v>YES</v>
      </c>
      <c r="E37" s="345" t="str" cm="1">
        <f t="array" aca="1" ref="E37" ca="1">INDIRECT("'Worksheet'!$X"&amp;$B29)</f>
        <v xml:space="preserve">Flameguard </v>
      </c>
      <c r="F37" s="39"/>
      <c r="G37" s="20"/>
      <c r="H37" s="390" cm="1">
        <f t="array" aca="1" ref="H37" ca="1">INDIRECT("'Worksheet'!$R"&amp;$B29)</f>
        <v>62</v>
      </c>
      <c r="I37" s="445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1">
        <f ca="1">H37</f>
        <v>62</v>
      </c>
      <c r="R37" s="445"/>
    </row>
    <row r="38" spans="1:18" ht="15.75" customHeight="1">
      <c r="C38" s="164" t="s">
        <v>12</v>
      </c>
      <c r="D38" s="345" t="str" cm="1">
        <f t="array" aca="1" ref="D38" ca="1">INDIRECT("'Worksheet'!$W"&amp;$B29)</f>
        <v>5th Avenue 72</v>
      </c>
      <c r="E38" s="22"/>
      <c r="F38" s="23"/>
      <c r="G38" s="22"/>
      <c r="H38" s="390" cm="1">
        <f t="array" aca="1" ref="H38" ca="1">INDIRECT("'Worksheet'!$P"&amp;$B29)</f>
        <v>74</v>
      </c>
      <c r="I38" s="446"/>
      <c r="L38" s="164" t="s">
        <v>12</v>
      </c>
      <c r="M38" s="21" t="str">
        <f t="shared" ca="1" si="2"/>
        <v>5th Avenue 72</v>
      </c>
      <c r="N38" s="22"/>
      <c r="O38" s="23"/>
      <c r="P38" s="22"/>
      <c r="Q38" s="391">
        <f ca="1">H38</f>
        <v>74</v>
      </c>
      <c r="R38" s="446"/>
    </row>
    <row r="39" spans="1:18" ht="20.25" customHeight="1">
      <c r="C39" s="346" cm="1">
        <f t="array" aca="1" ref="C39" ca="1">INDIRECT("'Worksheet'!$J"&amp;$B29)</f>
        <v>0</v>
      </c>
      <c r="D39" s="443" t="str" cm="1">
        <f t="array" aca="1" ref="D39" ca="1">IF(INDIRECT("'Worksheet'!$D"&amp;$B29)=1, "Left of Pair", IF(INDIRECT("'Worksheet'!$E"&amp;$B29)=1, "Panel"))</f>
        <v>Left of Pair</v>
      </c>
      <c r="E39" s="443"/>
      <c r="F39" s="443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43" t="str" cm="1">
        <f t="array" aca="1" ref="M39" ca="1">IF(INDIRECT("'Worksheet'!$D"&amp;$B29)=1, "Right of Pair", IF(INDIRECT("'Worksheet'!$E"&amp;$B29)=1, "Do Not Use"))</f>
        <v>Right of Pair</v>
      </c>
      <c r="N39" s="443"/>
      <c r="O39" s="443"/>
      <c r="P39" s="372"/>
      <c r="Q39" s="372"/>
      <c r="R39" s="373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+Worksheet!$W$4</f>
        <v xml:space="preserve">         Yamhill OR-chapel  WO#J5135826-00333</v>
      </c>
      <c r="E43" s="22"/>
      <c r="F43" s="23"/>
      <c r="G43" s="22"/>
      <c r="H43" s="24"/>
      <c r="I43" s="25">
        <f>+Worksheet!$AR$1</f>
        <v>33297</v>
      </c>
      <c r="J43" s="26"/>
      <c r="L43" s="164" t="s">
        <v>107</v>
      </c>
      <c r="M43" s="21" t="str">
        <f>+Worksheet!$W$4</f>
        <v xml:space="preserve">         Yamhill OR-chapel  WO#J5135826-00333</v>
      </c>
      <c r="N43" s="22"/>
      <c r="O43" s="23"/>
      <c r="P43" s="22"/>
      <c r="Q43" s="24"/>
      <c r="R43" s="25">
        <f>+Worksheet!$AR$1</f>
        <v>33297</v>
      </c>
    </row>
    <row r="44" spans="1:18" ht="31.8">
      <c r="C44" s="165" t="s">
        <v>122</v>
      </c>
      <c r="D44" s="150" cm="1">
        <f t="array" aca="1" ref="D44" ca="1">INDIRECT("'Worksheet'!$K"&amp;$B43)</f>
        <v>14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122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14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122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>
        <f ca="1">+IF($D53="Left of Pair",((D44+F44)*Worksheet!$AE$7)/2,IF($D53="Panel",(D44+F44)*Worksheet!$AE$7,IF($H53="SOR",D44*2.5+6,IF($H53="SOR T&amp;B",D44*2.5+6))))</f>
        <v>42.5</v>
      </c>
      <c r="E45" s="19" t="s">
        <v>116</v>
      </c>
      <c r="F45" s="367">
        <f ca="1">H44+15</f>
        <v>137</v>
      </c>
      <c r="G45" s="447" cm="1">
        <f t="array" aca="1" ref="G45" ca="1">INDIRECT("'Worksheet'!$Y"&amp;$B43)</f>
        <v>0</v>
      </c>
      <c r="H45" s="447"/>
      <c r="I45" s="448"/>
      <c r="L45" s="164" t="s">
        <v>115</v>
      </c>
      <c r="M45">
        <f t="shared" ca="1" si="3"/>
        <v>42.5</v>
      </c>
      <c r="N45" s="19" t="s">
        <v>116</v>
      </c>
      <c r="O45" s="367">
        <f ca="1">F45</f>
        <v>137</v>
      </c>
      <c r="P45" s="449">
        <f ca="1">G45</f>
        <v>0</v>
      </c>
      <c r="Q45" s="449"/>
      <c r="R45" s="450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0.60000000000000009</v>
      </c>
      <c r="E46" s="42" t="s">
        <v>40</v>
      </c>
      <c r="F46" s="368"/>
      <c r="G46" s="447"/>
      <c r="H46" s="447"/>
      <c r="I46" s="448"/>
      <c r="L46" s="166"/>
      <c r="M46" s="161">
        <f t="shared" ca="1" si="3"/>
        <v>0.60000000000000009</v>
      </c>
      <c r="N46" s="42" t="s">
        <v>40</v>
      </c>
      <c r="O46" s="368"/>
      <c r="P46" s="449"/>
      <c r="Q46" s="451"/>
      <c r="R46" s="452"/>
    </row>
    <row r="47" spans="1:18" ht="15.6">
      <c r="C47" s="164" t="s">
        <v>129</v>
      </c>
      <c r="D47" s="19">
        <f ca="1">+IF(D51="yes",IF($D53="Left of Pair",($D48*$H51),IF($D53="Panel",$D48*$H51,IF($H53="SOR",$D48*$H51," ")))," ")</f>
        <v>43.4</v>
      </c>
      <c r="E47" s="19" t="s">
        <v>116</v>
      </c>
      <c r="F47" s="367">
        <f ca="1">IF(D51="YES",H44+12," ")</f>
        <v>134</v>
      </c>
      <c r="H47" s="341" t="s">
        <v>10</v>
      </c>
      <c r="I47" s="369" cm="1">
        <f t="array" aca="1" ref="I47" ca="1">INDIRECT("'Worksheet'!$Q"&amp;B43)</f>
        <v>0.60000000000000009</v>
      </c>
      <c r="L47" s="164" t="s">
        <v>129</v>
      </c>
      <c r="M47">
        <f t="shared" ca="1" si="3"/>
        <v>43.4</v>
      </c>
      <c r="N47" s="19" t="s">
        <v>116</v>
      </c>
      <c r="O47" s="367">
        <f ca="1">F47</f>
        <v>134</v>
      </c>
      <c r="P47" s="19"/>
      <c r="Q47" s="341" t="s">
        <v>10</v>
      </c>
      <c r="R47" s="160">
        <f ca="1">I47</f>
        <v>0.60000000000000009</v>
      </c>
    </row>
    <row r="48" spans="1:18" ht="15.6">
      <c r="C48" s="167"/>
      <c r="D48" s="161" cm="1">
        <f t="array" aca="1" ref="D48" ca="1">IF(D51="yes",IF($D53="Left of Pair",INDIRECT("'Worksheet'!$S"&amp;$B43)/2,IF($D53="Panel",INDIRECT("'Worksheet'!$S"&amp;$B43)))," ")</f>
        <v>0.7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17</v>
      </c>
      <c r="L48" s="167"/>
      <c r="M48" s="342">
        <f t="shared" ca="1" si="3"/>
        <v>0.7</v>
      </c>
      <c r="N48" s="343" t="s">
        <v>40</v>
      </c>
      <c r="O48" s="370"/>
      <c r="P48" s="20"/>
      <c r="Q48" s="341" t="s">
        <v>110</v>
      </c>
      <c r="R48" s="32">
        <f ca="1">I48</f>
        <v>17</v>
      </c>
    </row>
    <row r="49" spans="1:18" ht="12.75" customHeight="1">
      <c r="C49" s="168" t="s">
        <v>108</v>
      </c>
      <c r="D49" s="371" t="str" cm="1">
        <f t="array" aca="1" ref="D49" ca="1">INDIRECT("'Worksheet'!$B"&amp;$B43)</f>
        <v>Chapel L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8" t="s">
        <v>108</v>
      </c>
      <c r="M49" s="31" t="str">
        <f t="shared" ca="1" si="3"/>
        <v>Chapel L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4" t="s">
        <v>111</v>
      </c>
      <c r="D50" s="344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45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5"/>
    </row>
    <row r="51" spans="1:18" ht="15.75" customHeight="1">
      <c r="C51" s="164" t="s">
        <v>113</v>
      </c>
      <c r="D51" s="37" t="str">
        <f ca="1">IF($E51&gt;0,"YES"," ")</f>
        <v>YES</v>
      </c>
      <c r="E51" s="345" t="str" cm="1">
        <f t="array" aca="1" ref="E51" ca="1">INDIRECT("'Worksheet'!$X"&amp;$B43)</f>
        <v xml:space="preserve">Flameguard </v>
      </c>
      <c r="F51" s="39"/>
      <c r="G51" s="20"/>
      <c r="H51" s="390" cm="1">
        <f t="array" aca="1" ref="H51" ca="1">INDIRECT("'Worksheet'!$R"&amp;$B43)</f>
        <v>62</v>
      </c>
      <c r="I51" s="445"/>
      <c r="J51" s="40"/>
      <c r="L51" s="164" t="s">
        <v>113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1">
        <f ca="1">H51</f>
        <v>62</v>
      </c>
      <c r="R51" s="445"/>
    </row>
    <row r="52" spans="1:18" ht="15.75" customHeight="1">
      <c r="C52" s="164" t="s">
        <v>12</v>
      </c>
      <c r="D52" s="345" t="str" cm="1">
        <f t="array" aca="1" ref="D52" ca="1">INDIRECT("'Worksheet'!$W"&amp;$B43)</f>
        <v>5th Avenue 72</v>
      </c>
      <c r="E52" s="22"/>
      <c r="F52" s="23"/>
      <c r="G52" s="22"/>
      <c r="H52" s="390" cm="1">
        <f t="array" aca="1" ref="H52" ca="1">INDIRECT("'Worksheet'!$P"&amp;$B43)</f>
        <v>74</v>
      </c>
      <c r="I52" s="446"/>
      <c r="L52" s="164" t="s">
        <v>12</v>
      </c>
      <c r="M52" s="21" t="str">
        <f t="shared" ca="1" si="3"/>
        <v>5th Avenue 72</v>
      </c>
      <c r="N52" s="22"/>
      <c r="O52" s="23"/>
      <c r="P52" s="22"/>
      <c r="Q52" s="391">
        <f ca="1">H52</f>
        <v>74</v>
      </c>
      <c r="R52" s="446"/>
    </row>
    <row r="53" spans="1:18" ht="22.8">
      <c r="C53" s="346" t="str" cm="1">
        <f t="array" aca="1" ref="C53" ca="1">INDIRECT("'Worksheet'!$J"&amp;$B43)</f>
        <v>dead</v>
      </c>
      <c r="D53" s="443" t="str" cm="1">
        <f t="array" aca="1" ref="D53" ca="1">IF(INDIRECT("'Worksheet'!$D"&amp;$B43)=1, "Left of Pair", IF(INDIRECT("'Worksheet'!$E"&amp;$B43)=1, "Panel"))</f>
        <v>Panel</v>
      </c>
      <c r="E53" s="443"/>
      <c r="F53" s="443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 t="str">
        <f ca="1">$C53</f>
        <v>dead</v>
      </c>
      <c r="M53" s="443" t="str" cm="1">
        <f t="array" aca="1" ref="M53" ca="1">IF(INDIRECT("'Worksheet'!$D"&amp;$B43)=1, "Right of Pair", IF(INDIRECT("'Worksheet'!$E"&amp;$B43)=1, "Do Not Use"))</f>
        <v>Do Not Use</v>
      </c>
      <c r="N53" s="443"/>
      <c r="O53" s="443"/>
      <c r="P53" s="372"/>
      <c r="Q53" s="372"/>
      <c r="R53" s="373"/>
    </row>
    <row r="55" spans="1:18" ht="18.600000000000001">
      <c r="A55" t="s">
        <v>27</v>
      </c>
      <c r="B55">
        <v>15</v>
      </c>
      <c r="C55" s="164" t="s">
        <v>107</v>
      </c>
      <c r="D55" s="21" t="str">
        <f>+Worksheet!$W$4</f>
        <v xml:space="preserve">         Yamhill OR-chapel  WO#J5135826-00333</v>
      </c>
      <c r="E55" s="22"/>
      <c r="F55" s="23"/>
      <c r="G55" s="22"/>
      <c r="H55" s="24"/>
      <c r="I55" s="25">
        <f>+Worksheet!$AR$1</f>
        <v>33297</v>
      </c>
      <c r="J55" s="26"/>
      <c r="L55" s="164" t="s">
        <v>107</v>
      </c>
      <c r="M55" s="21" t="str">
        <f>+Worksheet!$W$4</f>
        <v xml:space="preserve">         Yamhill OR-chapel  WO#J5135826-00333</v>
      </c>
      <c r="N55" s="22"/>
      <c r="O55" s="23"/>
      <c r="P55" s="22"/>
      <c r="Q55" s="24"/>
      <c r="R55" s="25">
        <f>+Worksheet!$AR$1</f>
        <v>33297</v>
      </c>
    </row>
    <row r="56" spans="1:18" ht="31.8">
      <c r="C56" s="165" t="s">
        <v>122</v>
      </c>
      <c r="D56" s="150" cm="1">
        <f t="array" aca="1" ref="D56" ca="1">INDIRECT("'Worksheet'!$K"&amp;$B55)</f>
        <v>14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122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14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122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>
        <f ca="1">+IF($D65="Left of Pair",((D56+F56)*Worksheet!$AE$7)/2,IF($D65="Panel",(D56+F56)*Worksheet!$AE$7,IF($H65="SOR",D56*2.5+6,IF($H65="SOR T&amp;B",D56*2.5+6))))</f>
        <v>42.5</v>
      </c>
      <c r="E57" s="19" t="s">
        <v>116</v>
      </c>
      <c r="F57" s="367">
        <f ca="1">H56+15</f>
        <v>137</v>
      </c>
      <c r="G57" s="447" cm="1">
        <f t="array" aca="1" ref="G57" ca="1">INDIRECT("'Worksheet'!$Y"&amp;$B55)</f>
        <v>0</v>
      </c>
      <c r="H57" s="447"/>
      <c r="I57" s="448"/>
      <c r="L57" s="164" t="s">
        <v>115</v>
      </c>
      <c r="M57">
        <f t="shared" ca="1" si="4"/>
        <v>42.5</v>
      </c>
      <c r="N57" s="19" t="s">
        <v>116</v>
      </c>
      <c r="O57" s="367">
        <f ca="1">F57</f>
        <v>137</v>
      </c>
      <c r="P57" s="449">
        <f ca="1">G57</f>
        <v>0</v>
      </c>
      <c r="Q57" s="449"/>
      <c r="R57" s="450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0.60000000000000009</v>
      </c>
      <c r="E58" s="42" t="s">
        <v>40</v>
      </c>
      <c r="F58" s="368"/>
      <c r="G58" s="447"/>
      <c r="H58" s="447"/>
      <c r="I58" s="448"/>
      <c r="L58" s="166"/>
      <c r="M58" s="161">
        <f t="shared" ca="1" si="4"/>
        <v>0.60000000000000009</v>
      </c>
      <c r="N58" s="42" t="s">
        <v>40</v>
      </c>
      <c r="O58" s="368"/>
      <c r="P58" s="449"/>
      <c r="Q58" s="451"/>
      <c r="R58" s="452"/>
    </row>
    <row r="59" spans="1:18" ht="15.6">
      <c r="C59" s="164" t="s">
        <v>129</v>
      </c>
      <c r="D59" s="19">
        <f ca="1">+IF(D63="yes",IF($D65="Left of Pair",($D60*$H63),IF($D65="Panel",$D60*$H63,IF($H65="SOR",$D60*$H63," ")))," ")</f>
        <v>43.4</v>
      </c>
      <c r="E59" s="19" t="s">
        <v>116</v>
      </c>
      <c r="F59" s="367">
        <f ca="1">IF(D63="YES",H56+12," ")</f>
        <v>134</v>
      </c>
      <c r="H59" s="341" t="s">
        <v>10</v>
      </c>
      <c r="I59" s="369" cm="1">
        <f t="array" aca="1" ref="I59" ca="1">INDIRECT("'Worksheet'!$Q"&amp;B55)</f>
        <v>0.60000000000000009</v>
      </c>
      <c r="L59" s="164" t="s">
        <v>129</v>
      </c>
      <c r="M59">
        <f t="shared" ca="1" si="4"/>
        <v>43.4</v>
      </c>
      <c r="N59" s="19" t="s">
        <v>116</v>
      </c>
      <c r="O59" s="367">
        <f ca="1">F59</f>
        <v>134</v>
      </c>
      <c r="P59" s="19"/>
      <c r="Q59" s="341" t="s">
        <v>10</v>
      </c>
      <c r="R59" s="160">
        <f ca="1">I59</f>
        <v>0.60000000000000009</v>
      </c>
    </row>
    <row r="60" spans="1:18" ht="15.6">
      <c r="C60" s="167"/>
      <c r="D60" s="161" cm="1">
        <f t="array" aca="1" ref="D60" ca="1">IF(D63="yes",IF($D65="Left of Pair",INDIRECT("'Worksheet'!$S"&amp;$B55)/2,IF($D65="Panel",INDIRECT("'Worksheet'!$S"&amp;$B55)))," ")</f>
        <v>0.7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17</v>
      </c>
      <c r="L60" s="167"/>
      <c r="M60" s="342">
        <f t="shared" ca="1" si="4"/>
        <v>0.7</v>
      </c>
      <c r="N60" s="343" t="s">
        <v>40</v>
      </c>
      <c r="O60" s="370"/>
      <c r="P60" s="20"/>
      <c r="Q60" s="341" t="s">
        <v>110</v>
      </c>
      <c r="R60" s="32">
        <f ca="1">I60</f>
        <v>17</v>
      </c>
    </row>
    <row r="61" spans="1:18" ht="12.75" customHeight="1">
      <c r="C61" s="168" t="s">
        <v>108</v>
      </c>
      <c r="D61" s="371" t="str" cm="1">
        <f t="array" aca="1" ref="D61" ca="1">INDIRECT("'Worksheet'!$B"&amp;$B55)</f>
        <v>Chapel R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8" t="s">
        <v>108</v>
      </c>
      <c r="M61" s="31" t="str">
        <f t="shared" ca="1" si="4"/>
        <v>Chapel R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4" t="s">
        <v>111</v>
      </c>
      <c r="D62" s="344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45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5"/>
    </row>
    <row r="63" spans="1:18" ht="15.75" customHeight="1">
      <c r="C63" s="164" t="s">
        <v>113</v>
      </c>
      <c r="D63" s="37" t="str">
        <f ca="1">IF($E63&gt;0,"YES"," ")</f>
        <v>YES</v>
      </c>
      <c r="E63" s="345" t="str" cm="1">
        <f t="array" aca="1" ref="E63" ca="1">INDIRECT("'Worksheet'!$X"&amp;$B55)</f>
        <v xml:space="preserve">Flameguard </v>
      </c>
      <c r="F63" s="39"/>
      <c r="G63" s="20"/>
      <c r="H63" s="390" cm="1">
        <f t="array" aca="1" ref="H63" ca="1">INDIRECT("'Worksheet'!$R"&amp;$B55)</f>
        <v>62</v>
      </c>
      <c r="I63" s="445"/>
      <c r="J63" s="40"/>
      <c r="L63" s="164" t="s">
        <v>113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1">
        <f ca="1">H63</f>
        <v>62</v>
      </c>
      <c r="R63" s="445"/>
    </row>
    <row r="64" spans="1:18" ht="15.75" customHeight="1">
      <c r="C64" s="164" t="s">
        <v>12</v>
      </c>
      <c r="D64" s="345" t="str" cm="1">
        <f t="array" aca="1" ref="D64" ca="1">INDIRECT("'Worksheet'!$W"&amp;$B55)</f>
        <v>5th Avenue 72</v>
      </c>
      <c r="E64" s="22"/>
      <c r="F64" s="23"/>
      <c r="G64" s="22"/>
      <c r="H64" s="390" cm="1">
        <f t="array" aca="1" ref="H64" ca="1">INDIRECT("'Worksheet'!$P"&amp;$B55)</f>
        <v>74</v>
      </c>
      <c r="I64" s="446"/>
      <c r="L64" s="164" t="s">
        <v>12</v>
      </c>
      <c r="M64" s="21" t="str">
        <f t="shared" ca="1" si="4"/>
        <v>5th Avenue 72</v>
      </c>
      <c r="N64" s="22"/>
      <c r="O64" s="23"/>
      <c r="P64" s="22"/>
      <c r="Q64" s="391">
        <f ca="1">H64</f>
        <v>74</v>
      </c>
      <c r="R64" s="446"/>
    </row>
    <row r="65" spans="1:18" ht="22.8">
      <c r="C65" s="346" t="str" cm="1">
        <f t="array" aca="1" ref="C65" ca="1">INDIRECT("'Worksheet'!$J"&amp;$B55)</f>
        <v>dead</v>
      </c>
      <c r="D65" s="443" t="str" cm="1">
        <f t="array" aca="1" ref="D65" ca="1">IF(INDIRECT("'Worksheet'!$D"&amp;$B55)=1, "Left of Pair", IF(INDIRECT("'Worksheet'!$E"&amp;$B55)=1, "Panel"))</f>
        <v>Panel</v>
      </c>
      <c r="E65" s="443"/>
      <c r="F65" s="443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 t="str">
        <f ca="1">$C65</f>
        <v>dead</v>
      </c>
      <c r="M65" s="443" t="str" cm="1">
        <f t="array" aca="1" ref="M65" ca="1">IF(INDIRECT("'Worksheet'!$D"&amp;$B55)=1, "Right of Pair", IF(INDIRECT("'Worksheet'!$E"&amp;$B55)=1, "Do Not Use"))</f>
        <v>Do Not Use</v>
      </c>
      <c r="N65" s="443"/>
      <c r="O65" s="443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+Worksheet!$W$4</f>
        <v xml:space="preserve">         Yamhill OR-chapel  WO#J5135826-00333</v>
      </c>
      <c r="E69" s="22"/>
      <c r="F69" s="23"/>
      <c r="G69" s="22"/>
      <c r="H69" s="24"/>
      <c r="I69" s="25">
        <f>+Worksheet!$AR$1</f>
        <v>33297</v>
      </c>
      <c r="J69" s="26"/>
      <c r="L69" s="164" t="s">
        <v>107</v>
      </c>
      <c r="M69" s="21" t="str">
        <f>+Worksheet!$W$4</f>
        <v xml:space="preserve">         Yamhill OR-chapel  WO#J5135826-00333</v>
      </c>
      <c r="N69" s="22"/>
      <c r="O69" s="23"/>
      <c r="P69" s="22"/>
      <c r="Q69" s="24"/>
      <c r="R69" s="25">
        <f>+Worksheet!$AR$1</f>
        <v>33297</v>
      </c>
    </row>
    <row r="70" spans="1:18" ht="31.8">
      <c r="C70" s="165" t="s">
        <v>122</v>
      </c>
      <c r="D70" s="150" cm="1">
        <f t="array" aca="1" ref="D70" ca="1">INDIRECT("'Worksheet'!$K"&amp;$B69)</f>
        <v>48</v>
      </c>
      <c r="E70" s="151" t="s">
        <v>109</v>
      </c>
      <c r="F70" s="150" cm="1">
        <f t="array" aca="1" ref="F70" ca="1">INDIRECT("'Worksheet'!$M"&amp;$B69)</f>
        <v>13</v>
      </c>
      <c r="G70" s="151" t="s">
        <v>116</v>
      </c>
      <c r="H70" s="150" cm="1">
        <f t="array" aca="1" ref="H70" ca="1">INDIRECT("'Worksheet'!$O"&amp;$B69)</f>
        <v>135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48</v>
      </c>
      <c r="N70" s="151" t="s">
        <v>109</v>
      </c>
      <c r="O70" s="152">
        <f ca="1">F70</f>
        <v>13</v>
      </c>
      <c r="P70" s="151" t="s">
        <v>116</v>
      </c>
      <c r="Q70" s="153">
        <f ca="1">H70</f>
        <v>135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>
        <f ca="1">+IF($D79="Left of Pair",((D70+F70)*Worksheet!$AE$7)/2,IF($D79="Panel",(D70+F70)*Worksheet!$AE$7,IF($H79="SOR",D70*2.5+6,IF($H79="SOR T&amp;B",D70*2.5+6))))</f>
        <v>76.25</v>
      </c>
      <c r="E71" s="19" t="s">
        <v>116</v>
      </c>
      <c r="F71" s="367">
        <f ca="1">H70+15</f>
        <v>150</v>
      </c>
      <c r="G71" s="447" cm="1">
        <f t="array" aca="1" ref="G71" ca="1">INDIRECT("'Worksheet'!$Y"&amp;$B69)</f>
        <v>0</v>
      </c>
      <c r="H71" s="447"/>
      <c r="I71" s="448"/>
      <c r="L71" s="164" t="s">
        <v>115</v>
      </c>
      <c r="M71">
        <f t="shared" ca="1" si="5"/>
        <v>76.25</v>
      </c>
      <c r="N71" s="19" t="s">
        <v>116</v>
      </c>
      <c r="O71" s="367">
        <f ca="1">F71</f>
        <v>150</v>
      </c>
      <c r="P71" s="449">
        <f ca="1">G71</f>
        <v>0</v>
      </c>
      <c r="Q71" s="449"/>
      <c r="R71" s="450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1.0499999999999998</v>
      </c>
      <c r="E72" s="42" t="s">
        <v>40</v>
      </c>
      <c r="F72" s="368"/>
      <c r="G72" s="447"/>
      <c r="H72" s="447"/>
      <c r="I72" s="448"/>
      <c r="L72" s="166"/>
      <c r="M72" s="161">
        <f t="shared" ca="1" si="5"/>
        <v>1.0499999999999998</v>
      </c>
      <c r="N72" s="42" t="s">
        <v>40</v>
      </c>
      <c r="O72" s="368"/>
      <c r="P72" s="449"/>
      <c r="Q72" s="451"/>
      <c r="R72" s="452"/>
    </row>
    <row r="73" spans="1:18" ht="15.6">
      <c r="C73" s="164" t="s">
        <v>129</v>
      </c>
      <c r="D73" s="19">
        <f ca="1">+IF(D77="yes",IF($D79="Left of Pair",($D74*$H77),IF($D79="Panel",$D74*$H77,IF($H79="SOR",$D74*$H77," ")))," ")</f>
        <v>74.399999999999991</v>
      </c>
      <c r="E73" s="19" t="s">
        <v>116</v>
      </c>
      <c r="F73" s="367">
        <f ca="1">IF(D77="YES",H70+12," ")</f>
        <v>147</v>
      </c>
      <c r="H73" s="341" t="s">
        <v>10</v>
      </c>
      <c r="I73" s="369" cm="1">
        <f t="array" aca="1" ref="I73" ca="1">INDIRECT("'Worksheet'!$Q"&amp;B69)</f>
        <v>2.0999999999999996</v>
      </c>
      <c r="L73" s="164" t="s">
        <v>129</v>
      </c>
      <c r="M73">
        <f t="shared" ca="1" si="5"/>
        <v>74.399999999999991</v>
      </c>
      <c r="N73" s="19" t="s">
        <v>116</v>
      </c>
      <c r="O73" s="367">
        <f ca="1">F73</f>
        <v>147</v>
      </c>
      <c r="P73" s="19"/>
      <c r="Q73" s="341" t="s">
        <v>10</v>
      </c>
      <c r="R73" s="160">
        <f ca="1">I73</f>
        <v>2.0999999999999996</v>
      </c>
    </row>
    <row r="74" spans="1:18" ht="15.6">
      <c r="C74" s="167"/>
      <c r="D74" s="161" cm="1">
        <f t="array" aca="1" ref="D74" ca="1">IF(D77="yes",IF($D79="Left of Pair",INDIRECT("'Worksheet'!$S"&amp;$B69)/2,IF($D79="Panel",INDIRECT("'Worksheet'!$S"&amp;$B69)))," ")</f>
        <v>1.2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30.5</v>
      </c>
      <c r="L74" s="167"/>
      <c r="M74" s="342">
        <f t="shared" ca="1" si="5"/>
        <v>1.2</v>
      </c>
      <c r="N74" s="343" t="s">
        <v>40</v>
      </c>
      <c r="O74" s="370"/>
      <c r="P74" s="20"/>
      <c r="Q74" s="341" t="s">
        <v>110</v>
      </c>
      <c r="R74" s="32">
        <f ca="1">I74</f>
        <v>30.5</v>
      </c>
    </row>
    <row r="75" spans="1:18" ht="12.75" customHeight="1">
      <c r="C75" s="168" t="s">
        <v>108</v>
      </c>
      <c r="D75" s="371" t="str" cm="1">
        <f t="array" aca="1" ref="D75" ca="1">INDIRECT("'Worksheet'!$B"&amp;$B69)</f>
        <v>Chapel R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8" t="s">
        <v>108</v>
      </c>
      <c r="M75" s="31" t="str">
        <f t="shared" ca="1" si="5"/>
        <v>Chapel R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4" t="s">
        <v>111</v>
      </c>
      <c r="D76" s="344" cm="1">
        <f t="array" aca="1" ref="D76" ca="1">INDIRECT("'Worksheet'!$H"&amp;$B69)</f>
        <v>3.5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45"/>
      <c r="L76" s="164" t="s">
        <v>111</v>
      </c>
      <c r="M76" s="34">
        <f t="shared" ca="1" si="5"/>
        <v>3.5</v>
      </c>
      <c r="N76" s="20"/>
      <c r="O76" s="169" t="s">
        <v>112</v>
      </c>
      <c r="P76" s="35"/>
      <c r="Q76" s="36" t="str">
        <f>H76</f>
        <v>Yes</v>
      </c>
      <c r="R76" s="445"/>
    </row>
    <row r="77" spans="1:18" ht="15.75" customHeight="1">
      <c r="C77" s="164" t="s">
        <v>113</v>
      </c>
      <c r="D77" s="37" t="str">
        <f ca="1">IF($E77&gt;0,"YES"," ")</f>
        <v>YES</v>
      </c>
      <c r="E77" s="345" t="str" cm="1">
        <f t="array" aca="1" ref="E77" ca="1">INDIRECT("'Worksheet'!$X"&amp;$B69)</f>
        <v xml:space="preserve">Flameguard </v>
      </c>
      <c r="F77" s="39"/>
      <c r="G77" s="20"/>
      <c r="H77" s="390" cm="1">
        <f t="array" aca="1" ref="H77" ca="1">INDIRECT("'Worksheet'!$R"&amp;$B69)</f>
        <v>62</v>
      </c>
      <c r="I77" s="445"/>
      <c r="J77" s="40"/>
      <c r="L77" s="164" t="s">
        <v>113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1">
        <f ca="1">H77</f>
        <v>62</v>
      </c>
      <c r="R77" s="445"/>
    </row>
    <row r="78" spans="1:18" ht="15.75" customHeight="1">
      <c r="C78" s="164" t="s">
        <v>12</v>
      </c>
      <c r="D78" s="345" t="str" cm="1">
        <f t="array" aca="1" ref="D78" ca="1">INDIRECT("'Worksheet'!$W"&amp;$B69)</f>
        <v>5th Avenue 72</v>
      </c>
      <c r="E78" s="22"/>
      <c r="F78" s="23"/>
      <c r="G78" s="22"/>
      <c r="H78" s="390" cm="1">
        <f t="array" aca="1" ref="H78" ca="1">INDIRECT("'Worksheet'!$P"&amp;$B69)</f>
        <v>74</v>
      </c>
      <c r="I78" s="446"/>
      <c r="L78" s="164" t="s">
        <v>12</v>
      </c>
      <c r="M78" s="21" t="str">
        <f t="shared" ca="1" si="5"/>
        <v>5th Avenue 72</v>
      </c>
      <c r="N78" s="22"/>
      <c r="O78" s="23"/>
      <c r="P78" s="22"/>
      <c r="Q78" s="391">
        <f ca="1">H78</f>
        <v>74</v>
      </c>
      <c r="R78" s="446"/>
    </row>
    <row r="79" spans="1:18" ht="22.8">
      <c r="C79" s="346" cm="1">
        <f t="array" aca="1" ref="C79" ca="1">INDIRECT("'Worksheet'!$J"&amp;$B69)</f>
        <v>0</v>
      </c>
      <c r="D79" s="443" t="str" cm="1">
        <f t="array" aca="1" ref="D79" ca="1">IF(INDIRECT("'Worksheet'!$D"&amp;$B69)=1, "Left of Pair", IF(INDIRECT("'Worksheet'!$E"&amp;$B69)=1, "Panel"))</f>
        <v>Left of Pair</v>
      </c>
      <c r="E79" s="443"/>
      <c r="F79" s="443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43" t="str" cm="1">
        <f t="array" aca="1" ref="M79" ca="1">IF(INDIRECT("'Worksheet'!$D"&amp;$B69)=1, "Right of Pair", IF(INDIRECT("'Worksheet'!$E"&amp;$B69)=1, "Do Not Use"))</f>
        <v>Right of Pair</v>
      </c>
      <c r="N79" s="443"/>
      <c r="O79" s="443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+Worksheet!$W$4</f>
        <v xml:space="preserve">         Yamhill OR-chapel  WO#J5135826-00333</v>
      </c>
      <c r="E83" s="22"/>
      <c r="F83" s="23"/>
      <c r="G83" s="22"/>
      <c r="H83" s="24"/>
      <c r="I83" s="25">
        <f>+Worksheet!$AR$1</f>
        <v>33297</v>
      </c>
      <c r="J83" s="26"/>
      <c r="L83" s="164" t="s">
        <v>107</v>
      </c>
      <c r="M83" s="21" t="str">
        <f>+Worksheet!$W$4</f>
        <v xml:space="preserve">         Yamhill OR-chapel  WO#J5135826-00333</v>
      </c>
      <c r="N83" s="22"/>
      <c r="O83" s="23"/>
      <c r="P83" s="22"/>
      <c r="Q83" s="24"/>
      <c r="R83" s="25">
        <f>+Worksheet!$AR$1</f>
        <v>33297</v>
      </c>
    </row>
    <row r="84" spans="1:18" ht="31.8">
      <c r="C84" s="165" t="s">
        <v>122</v>
      </c>
      <c r="D84" s="150" cm="1">
        <f t="array" aca="1" ref="D84" ca="1">INDIRECT("'Worksheet'!$K"&amp;$B83)</f>
        <v>14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135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14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135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>
        <f ca="1">+IF($D93="Left of Pair",((D84+F84)*Worksheet!$AE$7)/2,IF($D93="Panel",(D84+F84)*Worksheet!$AE$7,IF($H93="SOR",D84*2.5+6,IF($H93="SOR T&amp;B",D84*2.5+6))))</f>
        <v>42.5</v>
      </c>
      <c r="E85" s="19" t="s">
        <v>116</v>
      </c>
      <c r="F85" s="367">
        <f ca="1">H84+15</f>
        <v>150</v>
      </c>
      <c r="G85" s="447" cm="1">
        <f t="array" aca="1" ref="G85" ca="1">INDIRECT("'Worksheet'!$Y"&amp;$B83)</f>
        <v>0</v>
      </c>
      <c r="H85" s="447"/>
      <c r="I85" s="448"/>
      <c r="L85" s="164" t="s">
        <v>115</v>
      </c>
      <c r="M85">
        <f t="shared" ca="1" si="6"/>
        <v>42.5</v>
      </c>
      <c r="N85" s="19" t="s">
        <v>116</v>
      </c>
      <c r="O85" s="367">
        <f ca="1">F85</f>
        <v>150</v>
      </c>
      <c r="P85" s="449">
        <f ca="1">G85</f>
        <v>0</v>
      </c>
      <c r="Q85" s="449"/>
      <c r="R85" s="450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0.60000000000000009</v>
      </c>
      <c r="E86" s="42" t="s">
        <v>40</v>
      </c>
      <c r="F86" s="368"/>
      <c r="G86" s="447"/>
      <c r="H86" s="447"/>
      <c r="I86" s="448"/>
      <c r="L86" s="166"/>
      <c r="M86" s="161">
        <f t="shared" ca="1" si="6"/>
        <v>0.60000000000000009</v>
      </c>
      <c r="N86" s="42" t="s">
        <v>40</v>
      </c>
      <c r="O86" s="368"/>
      <c r="P86" s="449"/>
      <c r="Q86" s="451"/>
      <c r="R86" s="452"/>
    </row>
    <row r="87" spans="1:18" ht="15.6">
      <c r="C87" s="164" t="s">
        <v>129</v>
      </c>
      <c r="D87" s="19">
        <f ca="1">+IF(D91="yes",IF($D93="Left of Pair",($D88*$H91),IF($D93="Panel",$D88*$H91,IF($H93="SOR",$D88*$H91," ")))," ")</f>
        <v>43.4</v>
      </c>
      <c r="E87" s="19" t="s">
        <v>116</v>
      </c>
      <c r="F87" s="367">
        <f ca="1">IF(D91="YES",H84+12," ")</f>
        <v>147</v>
      </c>
      <c r="H87" s="341" t="s">
        <v>10</v>
      </c>
      <c r="I87" s="369" cm="1">
        <f t="array" aca="1" ref="I87" ca="1">INDIRECT("'Worksheet'!$Q"&amp;B83)</f>
        <v>0.60000000000000009</v>
      </c>
      <c r="L87" s="164" t="s">
        <v>129</v>
      </c>
      <c r="M87">
        <f t="shared" ca="1" si="6"/>
        <v>43.4</v>
      </c>
      <c r="N87" s="19" t="s">
        <v>116</v>
      </c>
      <c r="O87" s="367">
        <f ca="1">F87</f>
        <v>147</v>
      </c>
      <c r="P87" s="19"/>
      <c r="Q87" s="341" t="s">
        <v>10</v>
      </c>
      <c r="R87" s="160">
        <f ca="1">I87</f>
        <v>0.60000000000000009</v>
      </c>
    </row>
    <row r="88" spans="1:18" ht="15.6">
      <c r="C88" s="167"/>
      <c r="D88" s="161" cm="1">
        <f t="array" aca="1" ref="D88" ca="1">IF(D91="yes",IF($D93="Left of Pair",INDIRECT("'Worksheet'!$S"&amp;$B83)/2,IF($D93="Panel",INDIRECT("'Worksheet'!$S"&amp;$B83)))," ")</f>
        <v>0.7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17</v>
      </c>
      <c r="L88" s="167"/>
      <c r="M88" s="342">
        <f t="shared" ca="1" si="6"/>
        <v>0.7</v>
      </c>
      <c r="N88" s="343" t="s">
        <v>40</v>
      </c>
      <c r="O88" s="370"/>
      <c r="P88" s="20"/>
      <c r="Q88" s="341" t="s">
        <v>110</v>
      </c>
      <c r="R88" s="32">
        <f ca="1">I88</f>
        <v>17</v>
      </c>
    </row>
    <row r="89" spans="1:18" ht="12.75" customHeight="1">
      <c r="C89" s="168" t="s">
        <v>108</v>
      </c>
      <c r="D89" s="371" t="str" cm="1">
        <f t="array" aca="1" ref="D89" ca="1">INDIRECT("'Worksheet'!$B"&amp;$B83)</f>
        <v>Chapel R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8" t="s">
        <v>108</v>
      </c>
      <c r="M89" s="31" t="str">
        <f t="shared" ca="1" si="6"/>
        <v>Chapel R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4" t="s">
        <v>111</v>
      </c>
      <c r="D90" s="344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45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5"/>
    </row>
    <row r="91" spans="1:18" ht="15.75" customHeight="1">
      <c r="C91" s="164" t="s">
        <v>113</v>
      </c>
      <c r="D91" s="37" t="str">
        <f ca="1">IF($E91&gt;0,"YES"," ")</f>
        <v>YES</v>
      </c>
      <c r="E91" s="345" t="str" cm="1">
        <f t="array" aca="1" ref="E91" ca="1">INDIRECT("'Worksheet'!$X"&amp;$B83)</f>
        <v xml:space="preserve">Flameguard </v>
      </c>
      <c r="F91" s="39"/>
      <c r="G91" s="20"/>
      <c r="H91" s="390" cm="1">
        <f t="array" aca="1" ref="H91" ca="1">INDIRECT("'Worksheet'!$R"&amp;$B83)</f>
        <v>62</v>
      </c>
      <c r="I91" s="445"/>
      <c r="J91" s="40"/>
      <c r="L91" s="164" t="s">
        <v>113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1">
        <f ca="1">H91</f>
        <v>62</v>
      </c>
      <c r="R91" s="445"/>
    </row>
    <row r="92" spans="1:18" ht="15.75" customHeight="1">
      <c r="C92" s="164" t="s">
        <v>12</v>
      </c>
      <c r="D92" s="345" t="str" cm="1">
        <f t="array" aca="1" ref="D92" ca="1">INDIRECT("'Worksheet'!$W"&amp;$B83)</f>
        <v>5th Avenue 72</v>
      </c>
      <c r="E92" s="22"/>
      <c r="F92" s="23"/>
      <c r="G92" s="22"/>
      <c r="H92" s="390" cm="1">
        <f t="array" aca="1" ref="H92" ca="1">INDIRECT("'Worksheet'!$P"&amp;$B83)</f>
        <v>74</v>
      </c>
      <c r="I92" s="446"/>
      <c r="L92" s="164" t="s">
        <v>12</v>
      </c>
      <c r="M92" s="21" t="str">
        <f t="shared" ca="1" si="6"/>
        <v>5th Avenue 72</v>
      </c>
      <c r="N92" s="22"/>
      <c r="O92" s="23"/>
      <c r="P92" s="22"/>
      <c r="Q92" s="391">
        <f ca="1">H92</f>
        <v>74</v>
      </c>
      <c r="R92" s="446"/>
    </row>
    <row r="93" spans="1:18" ht="22.8">
      <c r="C93" s="346" t="str" cm="1">
        <f t="array" aca="1" ref="C93" ca="1">INDIRECT("'Worksheet'!$J"&amp;$B83)</f>
        <v>dead</v>
      </c>
      <c r="D93" s="443" t="str" cm="1">
        <f t="array" aca="1" ref="D93" ca="1">IF(INDIRECT("'Worksheet'!$D"&amp;$B83)=1, "Left of Pair", IF(INDIRECT("'Worksheet'!$E"&amp;$B83)=1, "Panel"))</f>
        <v>Panel</v>
      </c>
      <c r="E93" s="443"/>
      <c r="F93" s="443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 t="str">
        <f ca="1">$C93</f>
        <v>dead</v>
      </c>
      <c r="M93" s="443" t="str" cm="1">
        <f t="array" aca="1" ref="M93" ca="1">IF(INDIRECT("'Worksheet'!$D"&amp;$B83)=1, "Right of Pair", IF(INDIRECT("'Worksheet'!$E"&amp;$B83)=1, "Do Not Use"))</f>
        <v>Do Not Use</v>
      </c>
      <c r="N93" s="443"/>
      <c r="O93" s="443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+Worksheet!$W$4</f>
        <v xml:space="preserve">         Yamhill OR-chapel  WO#J5135826-00333</v>
      </c>
      <c r="E97" s="22"/>
      <c r="F97" s="23"/>
      <c r="G97" s="22"/>
      <c r="H97" s="24"/>
      <c r="I97" s="25">
        <f>+Worksheet!$AR$1</f>
        <v>33297</v>
      </c>
      <c r="J97" s="26"/>
      <c r="L97" s="164" t="s">
        <v>107</v>
      </c>
      <c r="M97" s="21" t="str">
        <f>+Worksheet!$W$4</f>
        <v xml:space="preserve">         Yamhill OR-chapel  WO#J5135826-00333</v>
      </c>
      <c r="N97" s="22"/>
      <c r="O97" s="23"/>
      <c r="P97" s="22"/>
      <c r="Q97" s="24"/>
      <c r="R97" s="25">
        <f>+Worksheet!$AR$1</f>
        <v>33297</v>
      </c>
    </row>
    <row r="98" spans="1:18" ht="31.8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7">
        <f ca="1">H98+15</f>
        <v>15</v>
      </c>
      <c r="G99" s="447" cm="1">
        <f t="array" aca="1" ref="G99" ca="1">INDIRECT("'Worksheet'!$Y"&amp;$B97)</f>
        <v>0</v>
      </c>
      <c r="H99" s="447"/>
      <c r="I99" s="448"/>
      <c r="L99" s="164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8"/>
      <c r="G100" s="447"/>
      <c r="H100" s="447"/>
      <c r="I100" s="448"/>
      <c r="L100" s="166"/>
      <c r="M100" s="161" t="b">
        <f t="shared" ca="1" si="7"/>
        <v>0</v>
      </c>
      <c r="N100" s="42" t="s">
        <v>40</v>
      </c>
      <c r="O100" s="368"/>
      <c r="P100" s="449"/>
      <c r="Q100" s="451"/>
      <c r="R100" s="452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3</v>
      </c>
      <c r="L102" s="167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3</v>
      </c>
    </row>
    <row r="103" spans="1:18" ht="12.75" customHeight="1">
      <c r="C103" s="168" t="s">
        <v>108</v>
      </c>
      <c r="D103" s="371" cm="1">
        <f t="array" aca="1" ref="D103" ca="1">INDIRECT("'Worksheet'!$B"&amp;$B97)</f>
        <v>0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4" t="s">
        <v>111</v>
      </c>
      <c r="D104" s="344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45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5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5" cm="1">
        <f t="array" aca="1" ref="E105" ca="1">INDIRECT("'Worksheet'!$X"&amp;$B97)</f>
        <v>0</v>
      </c>
      <c r="F105" s="39"/>
      <c r="G105" s="20"/>
      <c r="H105" s="390" t="str" cm="1">
        <f t="array" aca="1" ref="H105" ca="1">INDIRECT("'Worksheet'!$R"&amp;$B97)</f>
        <v xml:space="preserve"> </v>
      </c>
      <c r="I105" s="445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1" t="str">
        <f ca="1">H105</f>
        <v xml:space="preserve"> </v>
      </c>
      <c r="R105" s="445"/>
    </row>
    <row r="106" spans="1:18" ht="15.75" customHeight="1">
      <c r="C106" s="164" t="s">
        <v>12</v>
      </c>
      <c r="D106" s="345" cm="1">
        <f t="array" aca="1" ref="D106" ca="1">INDIRECT("'Worksheet'!$W"&amp;$B97)</f>
        <v>0</v>
      </c>
      <c r="E106" s="22"/>
      <c r="F106" s="23"/>
      <c r="G106" s="22"/>
      <c r="H106" s="390" t="str" cm="1">
        <f t="array" aca="1" ref="H106" ca="1">INDIRECT("'Worksheet'!$P"&amp;$B97)</f>
        <v xml:space="preserve"> </v>
      </c>
      <c r="I106" s="446"/>
      <c r="L106" s="164" t="s">
        <v>12</v>
      </c>
      <c r="M106" s="21">
        <f t="shared" ca="1" si="7"/>
        <v>0</v>
      </c>
      <c r="N106" s="22"/>
      <c r="O106" s="23"/>
      <c r="P106" s="22"/>
      <c r="Q106" s="391" t="str">
        <f ca="1">H106</f>
        <v xml:space="preserve"> </v>
      </c>
      <c r="R106" s="446"/>
    </row>
    <row r="107" spans="1:18" ht="22.8">
      <c r="C107" s="346" cm="1">
        <f t="array" aca="1" ref="C107" ca="1">INDIRECT("'Worksheet'!$J"&amp;$B97)</f>
        <v>0</v>
      </c>
      <c r="D107" s="443" t="b" cm="1">
        <f t="array" aca="1" ref="D107" ca="1">IF(INDIRECT("'Worksheet'!$D"&amp;$B97)=1, "Left of Pair", IF(INDIRECT("'Worksheet'!$E"&amp;$B97)=1, "Panel"))</f>
        <v>0</v>
      </c>
      <c r="E107" s="443"/>
      <c r="F107" s="443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3" t="b" cm="1">
        <f t="array" aca="1" ref="M107" ca="1">IF(INDIRECT("'Worksheet'!$D"&amp;$B97)=1, "Right of Pair", IF(INDIRECT("'Worksheet'!$E"&amp;$B97)=1, "Do Not Use"))</f>
        <v>0</v>
      </c>
      <c r="N107" s="443"/>
      <c r="O107" s="443"/>
      <c r="P107" s="372"/>
      <c r="Q107" s="372"/>
      <c r="R107" s="373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+Worksheet!$W$4</f>
        <v xml:space="preserve">         Yamhill OR-chapel  WO#J5135826-00333</v>
      </c>
      <c r="E109" s="22"/>
      <c r="F109" s="23"/>
      <c r="G109" s="22"/>
      <c r="H109" s="24"/>
      <c r="I109" s="25">
        <f>+Worksheet!$AR$1</f>
        <v>33297</v>
      </c>
      <c r="J109" s="26"/>
      <c r="L109" s="164" t="s">
        <v>107</v>
      </c>
      <c r="M109" s="21" t="str">
        <f>+Worksheet!$W$4</f>
        <v xml:space="preserve">         Yamhill OR-chapel  WO#J5135826-00333</v>
      </c>
      <c r="N109" s="22"/>
      <c r="O109" s="23"/>
      <c r="P109" s="22"/>
      <c r="Q109" s="24"/>
      <c r="R109" s="25">
        <f>+Worksheet!$AR$1</f>
        <v>33297</v>
      </c>
    </row>
    <row r="110" spans="1:18" ht="31.8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7">
        <f ca="1">H110+15</f>
        <v>15</v>
      </c>
      <c r="G111" s="447" cm="1">
        <f t="array" aca="1" ref="G111" ca="1">INDIRECT("'Worksheet'!$Y"&amp;$B109)</f>
        <v>0</v>
      </c>
      <c r="H111" s="447"/>
      <c r="I111" s="448"/>
      <c r="L111" s="164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8"/>
      <c r="G112" s="447"/>
      <c r="H112" s="447"/>
      <c r="I112" s="448"/>
      <c r="L112" s="166"/>
      <c r="M112" s="161" t="b">
        <f t="shared" ca="1" si="8"/>
        <v>0</v>
      </c>
      <c r="N112" s="42" t="s">
        <v>40</v>
      </c>
      <c r="O112" s="368"/>
      <c r="P112" s="449"/>
      <c r="Q112" s="451"/>
      <c r="R112" s="452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3</v>
      </c>
      <c r="L114" s="167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3</v>
      </c>
    </row>
    <row r="115" spans="1:18" ht="12.75" customHeight="1">
      <c r="C115" s="168" t="s">
        <v>108</v>
      </c>
      <c r="D115" s="371" cm="1">
        <f t="array" aca="1" ref="D115" ca="1">INDIRECT("'Worksheet'!$B"&amp;$B109)</f>
        <v>0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4" t="s">
        <v>111</v>
      </c>
      <c r="D116" s="344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45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5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5" cm="1">
        <f t="array" aca="1" ref="E117" ca="1">INDIRECT("'Worksheet'!$X"&amp;$B109)</f>
        <v>0</v>
      </c>
      <c r="F117" s="39"/>
      <c r="G117" s="20"/>
      <c r="H117" s="390" t="str" cm="1">
        <f t="array" aca="1" ref="H117" ca="1">INDIRECT("'Worksheet'!$R"&amp;$B109)</f>
        <v xml:space="preserve"> </v>
      </c>
      <c r="I117" s="445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1" t="str">
        <f ca="1">H117</f>
        <v xml:space="preserve"> </v>
      </c>
      <c r="R117" s="445"/>
    </row>
    <row r="118" spans="1:18" ht="15.75" customHeight="1">
      <c r="C118" s="164" t="s">
        <v>12</v>
      </c>
      <c r="D118" s="345" cm="1">
        <f t="array" aca="1" ref="D118" ca="1">INDIRECT("'Worksheet'!$W"&amp;$B109)</f>
        <v>0</v>
      </c>
      <c r="E118" s="22"/>
      <c r="F118" s="23"/>
      <c r="G118" s="22"/>
      <c r="H118" s="390" t="str" cm="1">
        <f t="array" aca="1" ref="H118" ca="1">INDIRECT("'Worksheet'!$P"&amp;$B109)</f>
        <v xml:space="preserve"> </v>
      </c>
      <c r="I118" s="446"/>
      <c r="L118" s="164" t="s">
        <v>12</v>
      </c>
      <c r="M118" s="21">
        <f t="shared" ca="1" si="8"/>
        <v>0</v>
      </c>
      <c r="N118" s="22"/>
      <c r="O118" s="23"/>
      <c r="P118" s="22"/>
      <c r="Q118" s="391" t="str">
        <f ca="1">H118</f>
        <v xml:space="preserve"> </v>
      </c>
      <c r="R118" s="446"/>
    </row>
    <row r="119" spans="1:18" ht="22.8">
      <c r="C119" s="346" cm="1">
        <f t="array" aca="1" ref="C119" ca="1">INDIRECT("'Worksheet'!$J"&amp;$B109)</f>
        <v>0</v>
      </c>
      <c r="D119" s="443" t="b" cm="1">
        <f t="array" aca="1" ref="D119" ca="1">IF(INDIRECT("'Worksheet'!$D"&amp;$B109)=1, "Left of Pair", IF(INDIRECT("'Worksheet'!$E"&amp;$B109)=1, "Panel"))</f>
        <v>0</v>
      </c>
      <c r="E119" s="443"/>
      <c r="F119" s="443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3" t="b" cm="1">
        <f t="array" aca="1" ref="M119" ca="1">IF(INDIRECT("'Worksheet'!$D"&amp;$B109)=1, "Right of Pair", IF(INDIRECT("'Worksheet'!$E"&amp;$B109)=1, "Do Not Use"))</f>
        <v>0</v>
      </c>
      <c r="N119" s="443"/>
      <c r="O119" s="443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+Worksheet!$W$4</f>
        <v xml:space="preserve">         Yamhill OR-chapel  WO#J5135826-00333</v>
      </c>
      <c r="E123" s="22"/>
      <c r="F123" s="23"/>
      <c r="G123" s="22"/>
      <c r="H123" s="24"/>
      <c r="I123" s="25">
        <f>+Worksheet!$AR$1</f>
        <v>33297</v>
      </c>
      <c r="J123" s="26"/>
      <c r="L123" s="164" t="s">
        <v>107</v>
      </c>
      <c r="M123" s="21" t="str">
        <f>+Worksheet!$W$4</f>
        <v xml:space="preserve">         Yamhill OR-chapel  WO#J5135826-00333</v>
      </c>
      <c r="N123" s="22"/>
      <c r="O123" s="23"/>
      <c r="P123" s="22"/>
      <c r="Q123" s="24"/>
      <c r="R123" s="25">
        <f>+Worksheet!$AR$1</f>
        <v>33297</v>
      </c>
    </row>
    <row r="124" spans="1:18" ht="31.8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7">
        <f ca="1">H124+15</f>
        <v>15</v>
      </c>
      <c r="G125" s="447" cm="1">
        <f t="array" aca="1" ref="G125" ca="1">INDIRECT("'Worksheet'!$Y"&amp;$B123)</f>
        <v>0</v>
      </c>
      <c r="H125" s="447"/>
      <c r="I125" s="448"/>
      <c r="L125" s="164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8"/>
      <c r="G126" s="447"/>
      <c r="H126" s="447"/>
      <c r="I126" s="448"/>
      <c r="L126" s="166"/>
      <c r="M126" s="161" t="b">
        <f t="shared" ca="1" si="9"/>
        <v>0</v>
      </c>
      <c r="N126" s="42" t="s">
        <v>40</v>
      </c>
      <c r="O126" s="368"/>
      <c r="P126" s="449"/>
      <c r="Q126" s="451"/>
      <c r="R126" s="452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3</v>
      </c>
      <c r="L128" s="167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3</v>
      </c>
    </row>
    <row r="129" spans="1:18" ht="12.75" customHeight="1">
      <c r="C129" s="168" t="s">
        <v>108</v>
      </c>
      <c r="D129" s="371" cm="1">
        <f t="array" aca="1" ref="D129" ca="1">INDIRECT("'Worksheet'!$B"&amp;$B123)</f>
        <v>0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4" t="s">
        <v>111</v>
      </c>
      <c r="D130" s="344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45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5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5" cm="1">
        <f t="array" aca="1" ref="E131" ca="1">INDIRECT("'Worksheet'!$X"&amp;$B123)</f>
        <v>0</v>
      </c>
      <c r="F131" s="39"/>
      <c r="G131" s="20"/>
      <c r="H131" s="390" t="str" cm="1">
        <f t="array" aca="1" ref="H131" ca="1">INDIRECT("'Worksheet'!$R"&amp;$B123)</f>
        <v xml:space="preserve"> </v>
      </c>
      <c r="I131" s="445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1" t="str">
        <f ca="1">H131</f>
        <v xml:space="preserve"> </v>
      </c>
      <c r="R131" s="445"/>
    </row>
    <row r="132" spans="1:18" ht="15.75" customHeight="1">
      <c r="C132" s="164" t="s">
        <v>12</v>
      </c>
      <c r="D132" s="345" cm="1">
        <f t="array" aca="1" ref="D132" ca="1">INDIRECT("'Worksheet'!$W"&amp;$B123)</f>
        <v>0</v>
      </c>
      <c r="E132" s="22"/>
      <c r="F132" s="23"/>
      <c r="G132" s="22"/>
      <c r="H132" s="390" t="str" cm="1">
        <f t="array" aca="1" ref="H132" ca="1">INDIRECT("'Worksheet'!$P"&amp;$B123)</f>
        <v xml:space="preserve"> </v>
      </c>
      <c r="I132" s="446"/>
      <c r="L132" s="164" t="s">
        <v>12</v>
      </c>
      <c r="M132" s="21">
        <f t="shared" ca="1" si="9"/>
        <v>0</v>
      </c>
      <c r="N132" s="22"/>
      <c r="O132" s="23"/>
      <c r="P132" s="22"/>
      <c r="Q132" s="391" t="str">
        <f ca="1">H132</f>
        <v xml:space="preserve"> </v>
      </c>
      <c r="R132" s="446"/>
    </row>
    <row r="133" spans="1:18" ht="22.8">
      <c r="C133" s="346" cm="1">
        <f t="array" aca="1" ref="C133" ca="1">INDIRECT("'Worksheet'!$J"&amp;$B123)</f>
        <v>0</v>
      </c>
      <c r="D133" s="443" t="b" cm="1">
        <f t="array" aca="1" ref="D133" ca="1">IF(INDIRECT("'Worksheet'!$D"&amp;$B123)=1, "Left of Pair", IF(INDIRECT("'Worksheet'!$E"&amp;$B123)=1, "Panel"))</f>
        <v>0</v>
      </c>
      <c r="E133" s="443"/>
      <c r="F133" s="443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3" t="b" cm="1">
        <f t="array" aca="1" ref="M133" ca="1">IF(INDIRECT("'Worksheet'!$D"&amp;$B123)=1, "Right of Pair", IF(INDIRECT("'Worksheet'!$E"&amp;$B123)=1, "Do Not Use"))</f>
        <v>0</v>
      </c>
      <c r="N133" s="443"/>
      <c r="O133" s="443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+Worksheet!$W$4</f>
        <v xml:space="preserve">         Yamhill OR-chapel  WO#J5135826-00333</v>
      </c>
      <c r="E137" s="22"/>
      <c r="F137" s="23"/>
      <c r="G137" s="22"/>
      <c r="H137" s="24"/>
      <c r="I137" s="25">
        <f>+Worksheet!$AR$1</f>
        <v>33297</v>
      </c>
      <c r="J137" s="26"/>
      <c r="L137" s="164" t="s">
        <v>107</v>
      </c>
      <c r="M137" s="21" t="str">
        <f>+Worksheet!$W$4</f>
        <v xml:space="preserve">         Yamhill OR-chapel  WO#J5135826-00333</v>
      </c>
      <c r="N137" s="22"/>
      <c r="O137" s="23"/>
      <c r="P137" s="22"/>
      <c r="Q137" s="24"/>
      <c r="R137" s="25">
        <f>+Worksheet!$AR$1</f>
        <v>33297</v>
      </c>
    </row>
    <row r="138" spans="1:18" ht="31.8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7">
        <f ca="1">H138+15</f>
        <v>15</v>
      </c>
      <c r="G139" s="447" cm="1">
        <f t="array" aca="1" ref="G139" ca="1">INDIRECT("'Worksheet'!$Y"&amp;$B137)</f>
        <v>0</v>
      </c>
      <c r="H139" s="447"/>
      <c r="I139" s="448"/>
      <c r="L139" s="164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8"/>
      <c r="G140" s="447"/>
      <c r="H140" s="447"/>
      <c r="I140" s="448"/>
      <c r="L140" s="166"/>
      <c r="M140" s="161" t="b">
        <f t="shared" ca="1" si="10"/>
        <v>0</v>
      </c>
      <c r="N140" s="42" t="s">
        <v>40</v>
      </c>
      <c r="O140" s="368"/>
      <c r="P140" s="449"/>
      <c r="Q140" s="451"/>
      <c r="R140" s="452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3</v>
      </c>
      <c r="L142" s="167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3</v>
      </c>
    </row>
    <row r="143" spans="1:18" ht="12.75" customHeight="1">
      <c r="C143" s="168" t="s">
        <v>108</v>
      </c>
      <c r="D143" s="371" cm="1">
        <f t="array" aca="1" ref="D143" ca="1">INDIRECT("'Worksheet'!$B"&amp;$B137)</f>
        <v>0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4" t="s">
        <v>111</v>
      </c>
      <c r="D144" s="344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45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5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5" cm="1">
        <f t="array" aca="1" ref="E145" ca="1">INDIRECT("'Worksheet'!$X"&amp;$B137)</f>
        <v>0</v>
      </c>
      <c r="F145" s="39"/>
      <c r="G145" s="20"/>
      <c r="H145" s="390" t="str" cm="1">
        <f t="array" aca="1" ref="H145" ca="1">INDIRECT("'Worksheet'!$R"&amp;$B137)</f>
        <v xml:space="preserve"> </v>
      </c>
      <c r="I145" s="445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1" t="str">
        <f ca="1">H145</f>
        <v xml:space="preserve"> </v>
      </c>
      <c r="R145" s="445"/>
    </row>
    <row r="146" spans="1:18" ht="15.75" customHeight="1">
      <c r="C146" s="164" t="s">
        <v>12</v>
      </c>
      <c r="D146" s="345" cm="1">
        <f t="array" aca="1" ref="D146" ca="1">INDIRECT("'Worksheet'!$W"&amp;$B137)</f>
        <v>0</v>
      </c>
      <c r="E146" s="22"/>
      <c r="F146" s="23"/>
      <c r="G146" s="22"/>
      <c r="H146" s="390" t="str" cm="1">
        <f t="array" aca="1" ref="H146" ca="1">INDIRECT("'Worksheet'!$P"&amp;$B137)</f>
        <v xml:space="preserve"> </v>
      </c>
      <c r="I146" s="446"/>
      <c r="L146" s="164" t="s">
        <v>12</v>
      </c>
      <c r="M146" s="21">
        <f t="shared" ca="1" si="10"/>
        <v>0</v>
      </c>
      <c r="N146" s="22"/>
      <c r="O146" s="23"/>
      <c r="P146" s="22"/>
      <c r="Q146" s="391" t="str">
        <f ca="1">H146</f>
        <v xml:space="preserve"> </v>
      </c>
      <c r="R146" s="446"/>
    </row>
    <row r="147" spans="1:18" ht="22.8">
      <c r="C147" s="346" cm="1">
        <f t="array" aca="1" ref="C147" ca="1">INDIRECT("'Worksheet'!$J"&amp;$B137)</f>
        <v>0</v>
      </c>
      <c r="D147" s="443" t="b" cm="1">
        <f t="array" aca="1" ref="D147" ca="1">IF(INDIRECT("'Worksheet'!$D"&amp;$B137)=1, "Left of Pair", IF(INDIRECT("'Worksheet'!$E"&amp;$B137)=1, "Panel"))</f>
        <v>0</v>
      </c>
      <c r="E147" s="443"/>
      <c r="F147" s="443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3" t="b" cm="1">
        <f t="array" aca="1" ref="M147" ca="1">IF(INDIRECT("'Worksheet'!$D"&amp;$B137)=1, "Right of Pair", IF(INDIRECT("'Worksheet'!$E"&amp;$B137)=1, "Do Not Use"))</f>
        <v>0</v>
      </c>
      <c r="N147" s="443"/>
      <c r="O147" s="443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+Worksheet!$W$4</f>
        <v xml:space="preserve">         Yamhill OR-chapel  WO#J5135826-00333</v>
      </c>
      <c r="E151" s="22"/>
      <c r="F151" s="23"/>
      <c r="G151" s="22"/>
      <c r="H151" s="24"/>
      <c r="I151" s="25">
        <f>+Worksheet!$AR$1</f>
        <v>33297</v>
      </c>
      <c r="J151" s="26"/>
      <c r="L151" s="164" t="s">
        <v>107</v>
      </c>
      <c r="M151" s="21" t="str">
        <f>+Worksheet!$W$4</f>
        <v xml:space="preserve">         Yamhill OR-chapel  WO#J5135826-00333</v>
      </c>
      <c r="N151" s="22"/>
      <c r="O151" s="23"/>
      <c r="P151" s="22"/>
      <c r="Q151" s="24"/>
      <c r="R151" s="25">
        <f>+Worksheet!$AR$1</f>
        <v>33297</v>
      </c>
    </row>
    <row r="152" spans="1:18" ht="31.8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7">
        <f ca="1">H152+15</f>
        <v>15</v>
      </c>
      <c r="G153" s="447" cm="1">
        <f t="array" aca="1" ref="G153" ca="1">INDIRECT("'Worksheet'!$Y"&amp;$B151)</f>
        <v>0</v>
      </c>
      <c r="H153" s="447"/>
      <c r="I153" s="448"/>
      <c r="L153" s="164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8"/>
      <c r="G154" s="447"/>
      <c r="H154" s="447"/>
      <c r="I154" s="448"/>
      <c r="L154" s="166"/>
      <c r="M154" s="161" t="b">
        <f t="shared" ca="1" si="11"/>
        <v>0</v>
      </c>
      <c r="N154" s="42" t="s">
        <v>40</v>
      </c>
      <c r="O154" s="368"/>
      <c r="P154" s="449"/>
      <c r="Q154" s="451"/>
      <c r="R154" s="452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3</v>
      </c>
      <c r="L156" s="167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3</v>
      </c>
    </row>
    <row r="157" spans="1:18" ht="12.75" customHeight="1">
      <c r="C157" s="168" t="s">
        <v>108</v>
      </c>
      <c r="D157" s="371" cm="1">
        <f t="array" aca="1" ref="D157" ca="1">INDIRECT("'Worksheet'!$B"&amp;$B151)</f>
        <v>0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4" t="s">
        <v>111</v>
      </c>
      <c r="D158" s="344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45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5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5" cm="1">
        <f t="array" aca="1" ref="E159" ca="1">INDIRECT("'Worksheet'!$X"&amp;$B151)</f>
        <v>0</v>
      </c>
      <c r="F159" s="39"/>
      <c r="G159" s="20"/>
      <c r="H159" s="390" t="str" cm="1">
        <f t="array" aca="1" ref="H159" ca="1">INDIRECT("'Worksheet'!$R"&amp;$B151)</f>
        <v xml:space="preserve"> </v>
      </c>
      <c r="I159" s="445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1" t="str">
        <f ca="1">H159</f>
        <v xml:space="preserve"> </v>
      </c>
      <c r="R159" s="445"/>
    </row>
    <row r="160" spans="1:18" ht="15.75" customHeight="1">
      <c r="C160" s="164" t="s">
        <v>12</v>
      </c>
      <c r="D160" s="345" cm="1">
        <f t="array" aca="1" ref="D160" ca="1">INDIRECT("'Worksheet'!$W"&amp;$B151)</f>
        <v>0</v>
      </c>
      <c r="E160" s="22"/>
      <c r="F160" s="23"/>
      <c r="G160" s="22"/>
      <c r="H160" s="390" t="str" cm="1">
        <f t="array" aca="1" ref="H160" ca="1">INDIRECT("'Worksheet'!$P"&amp;$B151)</f>
        <v xml:space="preserve"> </v>
      </c>
      <c r="I160" s="446"/>
      <c r="L160" s="164" t="s">
        <v>12</v>
      </c>
      <c r="M160" s="21">
        <f t="shared" ca="1" si="11"/>
        <v>0</v>
      </c>
      <c r="N160" s="22"/>
      <c r="O160" s="23"/>
      <c r="P160" s="22"/>
      <c r="Q160" s="391" t="str">
        <f ca="1">H160</f>
        <v xml:space="preserve"> </v>
      </c>
      <c r="R160" s="446"/>
    </row>
    <row r="161" spans="1:18" ht="22.8">
      <c r="C161" s="346" cm="1">
        <f t="array" aca="1" ref="C161" ca="1">INDIRECT("'Worksheet'!$J"&amp;$B151)</f>
        <v>0</v>
      </c>
      <c r="D161" s="443" t="b" cm="1">
        <f t="array" aca="1" ref="D161" ca="1">IF(INDIRECT("'Worksheet'!$D"&amp;$B151)=1, "Left of Pair", IF(INDIRECT("'Worksheet'!$E"&amp;$B151)=1, "Panel"))</f>
        <v>0</v>
      </c>
      <c r="E161" s="443"/>
      <c r="F161" s="443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43" t="b" cm="1">
        <f t="array" aca="1" ref="M161" ca="1">IF(INDIRECT("'Worksheet'!$D"&amp;$B151)=1, "Right of Pair", IF(INDIRECT("'Worksheet'!$E"&amp;$B151)=1, "Do Not Use"))</f>
        <v>0</v>
      </c>
      <c r="N161" s="443"/>
      <c r="O161" s="443"/>
      <c r="P161" s="372"/>
      <c r="Q161" s="372"/>
      <c r="R161" s="373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+Worksheet!$W$4</f>
        <v xml:space="preserve">         Yamhill OR-chapel  WO#J5135826-00333</v>
      </c>
      <c r="E163" s="22"/>
      <c r="F163" s="23"/>
      <c r="G163" s="22"/>
      <c r="H163" s="24"/>
      <c r="I163" s="25">
        <f>+Worksheet!$AR$1</f>
        <v>33297</v>
      </c>
      <c r="J163" s="26"/>
      <c r="L163" s="164" t="s">
        <v>107</v>
      </c>
      <c r="M163" s="21" t="str">
        <f>+Worksheet!$W$4</f>
        <v xml:space="preserve">         Yamhill OR-chapel  WO#J5135826-00333</v>
      </c>
      <c r="N163" s="22"/>
      <c r="O163" s="23"/>
      <c r="P163" s="22"/>
      <c r="Q163" s="24"/>
      <c r="R163" s="25">
        <f>+Worksheet!$AR$1</f>
        <v>33297</v>
      </c>
    </row>
    <row r="164" spans="1:18" ht="31.8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7">
        <f ca="1">H164+15</f>
        <v>15</v>
      </c>
      <c r="G165" s="447" cm="1">
        <f t="array" aca="1" ref="G165" ca="1">INDIRECT("'Worksheet'!$Y"&amp;$B163)</f>
        <v>0</v>
      </c>
      <c r="H165" s="447"/>
      <c r="I165" s="448"/>
      <c r="L165" s="164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8"/>
      <c r="G166" s="447"/>
      <c r="H166" s="447"/>
      <c r="I166" s="448"/>
      <c r="L166" s="166"/>
      <c r="M166" s="161" t="b">
        <f t="shared" ca="1" si="12"/>
        <v>0</v>
      </c>
      <c r="N166" s="42" t="s">
        <v>40</v>
      </c>
      <c r="O166" s="368"/>
      <c r="P166" s="449"/>
      <c r="Q166" s="451"/>
      <c r="R166" s="452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3</v>
      </c>
      <c r="L168" s="167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3</v>
      </c>
    </row>
    <row r="169" spans="1:18" ht="12.75" customHeight="1">
      <c r="C169" s="168" t="s">
        <v>108</v>
      </c>
      <c r="D169" s="371" cm="1">
        <f t="array" aca="1" ref="D169" ca="1">INDIRECT("'Worksheet'!$B"&amp;$B163)</f>
        <v>0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4" t="s">
        <v>111</v>
      </c>
      <c r="D170" s="344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45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5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5" cm="1">
        <f t="array" aca="1" ref="E171" ca="1">INDIRECT("'Worksheet'!$X"&amp;$B163)</f>
        <v>0</v>
      </c>
      <c r="F171" s="39"/>
      <c r="G171" s="20"/>
      <c r="H171" s="390" t="str" cm="1">
        <f t="array" aca="1" ref="H171" ca="1">INDIRECT("'Worksheet'!$R"&amp;$B163)</f>
        <v xml:space="preserve"> </v>
      </c>
      <c r="I171" s="445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1" t="str">
        <f ca="1">H171</f>
        <v xml:space="preserve"> </v>
      </c>
      <c r="R171" s="445"/>
    </row>
    <row r="172" spans="1:18" ht="15.75" customHeight="1">
      <c r="C172" s="164" t="s">
        <v>12</v>
      </c>
      <c r="D172" s="345" cm="1">
        <f t="array" aca="1" ref="D172" ca="1">INDIRECT("'Worksheet'!$W"&amp;$B163)</f>
        <v>0</v>
      </c>
      <c r="E172" s="22"/>
      <c r="F172" s="23"/>
      <c r="G172" s="22"/>
      <c r="H172" s="390" t="str" cm="1">
        <f t="array" aca="1" ref="H172" ca="1">INDIRECT("'Worksheet'!$P"&amp;$B163)</f>
        <v xml:space="preserve"> </v>
      </c>
      <c r="I172" s="446"/>
      <c r="L172" s="164" t="s">
        <v>12</v>
      </c>
      <c r="M172" s="21">
        <f t="shared" ca="1" si="12"/>
        <v>0</v>
      </c>
      <c r="N172" s="22"/>
      <c r="O172" s="23"/>
      <c r="P172" s="22"/>
      <c r="Q172" s="391" t="str">
        <f ca="1">H172</f>
        <v xml:space="preserve"> </v>
      </c>
      <c r="R172" s="446"/>
    </row>
    <row r="173" spans="1:18" ht="22.8">
      <c r="C173" s="346" cm="1">
        <f t="array" aca="1" ref="C173" ca="1">INDIRECT("'Worksheet'!$J"&amp;$B163)</f>
        <v>0</v>
      </c>
      <c r="D173" s="443" t="b" cm="1">
        <f t="array" aca="1" ref="D173" ca="1">IF(INDIRECT("'Worksheet'!$D"&amp;$B163)=1, "Left of Pair", IF(INDIRECT("'Worksheet'!$E"&amp;$B163)=1, "Panel"))</f>
        <v>0</v>
      </c>
      <c r="E173" s="443"/>
      <c r="F173" s="443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3" t="b" cm="1">
        <f t="array" aca="1" ref="M173" ca="1">IF(INDIRECT("'Worksheet'!$D"&amp;$B163)=1, "Right of Pair", IF(INDIRECT("'Worksheet'!$E"&amp;$B163)=1, "Do Not Use"))</f>
        <v>0</v>
      </c>
      <c r="N173" s="443"/>
      <c r="O173" s="443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+Worksheet!$W$4</f>
        <v xml:space="preserve">         Yamhill OR-chapel  WO#J5135826-00333</v>
      </c>
      <c r="E177" s="22"/>
      <c r="F177" s="23"/>
      <c r="G177" s="22"/>
      <c r="H177" s="24"/>
      <c r="I177" s="25">
        <f>+Worksheet!$AR$1</f>
        <v>33297</v>
      </c>
      <c r="J177" s="26"/>
      <c r="L177" s="164" t="s">
        <v>107</v>
      </c>
      <c r="M177" s="21" t="str">
        <f>+Worksheet!$W$4</f>
        <v xml:space="preserve">         Yamhill OR-chapel  WO#J5135826-00333</v>
      </c>
      <c r="N177" s="22"/>
      <c r="O177" s="23"/>
      <c r="P177" s="22"/>
      <c r="Q177" s="24"/>
      <c r="R177" s="25">
        <f>+Worksheet!$AR$1</f>
        <v>33297</v>
      </c>
    </row>
    <row r="178" spans="1:18" ht="31.8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7">
        <f ca="1">H178+15</f>
        <v>15</v>
      </c>
      <c r="G179" s="447" cm="1">
        <f t="array" aca="1" ref="G179" ca="1">INDIRECT("'Worksheet'!$Y"&amp;$B177)</f>
        <v>0</v>
      </c>
      <c r="H179" s="447"/>
      <c r="I179" s="448"/>
      <c r="L179" s="164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8"/>
      <c r="G180" s="447"/>
      <c r="H180" s="447"/>
      <c r="I180" s="448"/>
      <c r="L180" s="166"/>
      <c r="M180" s="161" t="b">
        <f t="shared" ca="1" si="13"/>
        <v>0</v>
      </c>
      <c r="N180" s="42" t="s">
        <v>40</v>
      </c>
      <c r="O180" s="368"/>
      <c r="P180" s="449"/>
      <c r="Q180" s="451"/>
      <c r="R180" s="452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3</v>
      </c>
      <c r="L182" s="167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3</v>
      </c>
    </row>
    <row r="183" spans="1:18" ht="12.75" customHeight="1">
      <c r="C183" s="168" t="s">
        <v>108</v>
      </c>
      <c r="D183" s="371" cm="1">
        <f t="array" aca="1" ref="D183" ca="1">INDIRECT("'Worksheet'!$B"&amp;$B177)</f>
        <v>0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4" t="s">
        <v>111</v>
      </c>
      <c r="D184" s="344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45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5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5" cm="1">
        <f t="array" aca="1" ref="E185" ca="1">INDIRECT("'Worksheet'!$X"&amp;$B177)</f>
        <v>0</v>
      </c>
      <c r="F185" s="39"/>
      <c r="G185" s="20"/>
      <c r="H185" s="390" t="str" cm="1">
        <f t="array" aca="1" ref="H185" ca="1">INDIRECT("'Worksheet'!$R"&amp;$B177)</f>
        <v xml:space="preserve"> </v>
      </c>
      <c r="I185" s="445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1" t="str">
        <f ca="1">H185</f>
        <v xml:space="preserve"> </v>
      </c>
      <c r="R185" s="445"/>
    </row>
    <row r="186" spans="1:18" ht="15.75" customHeight="1">
      <c r="C186" s="164" t="s">
        <v>12</v>
      </c>
      <c r="D186" s="345" cm="1">
        <f t="array" aca="1" ref="D186" ca="1">INDIRECT("'Worksheet'!$W"&amp;$B177)</f>
        <v>0</v>
      </c>
      <c r="E186" s="22"/>
      <c r="F186" s="23"/>
      <c r="G186" s="22"/>
      <c r="H186" s="390" t="str" cm="1">
        <f t="array" aca="1" ref="H186" ca="1">INDIRECT("'Worksheet'!$P"&amp;$B177)</f>
        <v xml:space="preserve"> </v>
      </c>
      <c r="I186" s="446"/>
      <c r="L186" s="164" t="s">
        <v>12</v>
      </c>
      <c r="M186" s="21">
        <f t="shared" ca="1" si="13"/>
        <v>0</v>
      </c>
      <c r="N186" s="22"/>
      <c r="O186" s="23"/>
      <c r="P186" s="22"/>
      <c r="Q186" s="391" t="str">
        <f ca="1">H186</f>
        <v xml:space="preserve"> </v>
      </c>
      <c r="R186" s="446"/>
    </row>
    <row r="187" spans="1:18" ht="22.8">
      <c r="C187" s="346" cm="1">
        <f t="array" aca="1" ref="C187" ca="1">INDIRECT("'Worksheet'!$J"&amp;$B177)</f>
        <v>0</v>
      </c>
      <c r="D187" s="443" t="b" cm="1">
        <f t="array" aca="1" ref="D187" ca="1">IF(INDIRECT("'Worksheet'!$D"&amp;$B177)=1, "Left of Pair", IF(INDIRECT("'Worksheet'!$E"&amp;$B177)=1, "Panel"))</f>
        <v>0</v>
      </c>
      <c r="E187" s="443"/>
      <c r="F187" s="443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3" t="b" cm="1">
        <f t="array" aca="1" ref="M187" ca="1">IF(INDIRECT("'Worksheet'!$D"&amp;$B177)=1, "Right of Pair", IF(INDIRECT("'Worksheet'!$E"&amp;$B177)=1, "Do Not Use"))</f>
        <v>0</v>
      </c>
      <c r="N187" s="443"/>
      <c r="O187" s="443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+Worksheet!$W$4</f>
        <v xml:space="preserve">         Yamhill OR-chapel  WO#J5135826-00333</v>
      </c>
      <c r="E191" s="22"/>
      <c r="F191" s="23"/>
      <c r="G191" s="22"/>
      <c r="H191" s="24"/>
      <c r="I191" s="25">
        <f>+Worksheet!$AR$1</f>
        <v>33297</v>
      </c>
      <c r="J191" s="26"/>
      <c r="L191" s="164" t="s">
        <v>107</v>
      </c>
      <c r="M191" s="21" t="str">
        <f>+Worksheet!$W$4</f>
        <v xml:space="preserve">         Yamhill OR-chapel  WO#J5135826-00333</v>
      </c>
      <c r="N191" s="22"/>
      <c r="O191" s="23"/>
      <c r="P191" s="22"/>
      <c r="Q191" s="24"/>
      <c r="R191" s="25">
        <f>+Worksheet!$AR$1</f>
        <v>33297</v>
      </c>
    </row>
    <row r="192" spans="1:18" ht="31.8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7">
        <f ca="1">H192+15</f>
        <v>15</v>
      </c>
      <c r="G193" s="447" cm="1">
        <f t="array" aca="1" ref="G193" ca="1">INDIRECT("'Worksheet'!$Y"&amp;$B191)</f>
        <v>0</v>
      </c>
      <c r="H193" s="447"/>
      <c r="I193" s="448"/>
      <c r="L193" s="164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7"/>
      <c r="H194" s="447"/>
      <c r="I194" s="448"/>
      <c r="L194" s="166"/>
      <c r="M194" s="161" t="b">
        <f t="shared" ca="1" si="14"/>
        <v>0</v>
      </c>
      <c r="N194" s="42" t="s">
        <v>40</v>
      </c>
      <c r="O194" s="368"/>
      <c r="P194" s="449"/>
      <c r="Q194" s="451"/>
      <c r="R194" s="452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3</v>
      </c>
      <c r="L196" s="167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3</v>
      </c>
    </row>
    <row r="197" spans="1:18" ht="12.75" customHeight="1">
      <c r="C197" s="168" t="s">
        <v>108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4" t="s">
        <v>111</v>
      </c>
      <c r="D198" s="344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45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5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45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45"/>
    </row>
    <row r="200" spans="1:18" ht="15.75" customHeight="1">
      <c r="C200" s="164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46"/>
      <c r="L200" s="164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46"/>
    </row>
    <row r="201" spans="1:18" ht="22.8">
      <c r="C201" s="346" cm="1">
        <f t="array" aca="1" ref="C201" ca="1">INDIRECT("'Worksheet'!$J"&amp;$B191)</f>
        <v>0</v>
      </c>
      <c r="D201" s="443" t="b" cm="1">
        <f t="array" aca="1" ref="D201" ca="1">IF(INDIRECT("'Worksheet'!$D"&amp;$B191)=1, "Left of Pair", IF(INDIRECT("'Worksheet'!$E"&amp;$B191)=1, "Panel"))</f>
        <v>0</v>
      </c>
      <c r="E201" s="443"/>
      <c r="F201" s="443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3" t="b" cm="1">
        <f t="array" aca="1" ref="M201" ca="1">IF(INDIRECT("'Worksheet'!$D"&amp;$B191)=1, "Right of Pair", IF(INDIRECT("'Worksheet'!$E"&amp;$B191)=1, "Do Not Use"))</f>
        <v>0</v>
      </c>
      <c r="N201" s="443"/>
      <c r="O201" s="443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+Worksheet!$W$4</f>
        <v xml:space="preserve">         Yamhill OR-chapel  WO#J5135826-00333</v>
      </c>
      <c r="E205" s="22"/>
      <c r="F205" s="23"/>
      <c r="G205" s="22"/>
      <c r="H205" s="24"/>
      <c r="I205" s="25">
        <f>+Worksheet!$AR$1</f>
        <v>33297</v>
      </c>
      <c r="J205" s="26"/>
      <c r="L205" s="164" t="s">
        <v>107</v>
      </c>
      <c r="M205" s="21" t="str">
        <f>+Worksheet!$W$4</f>
        <v xml:space="preserve">         Yamhill OR-chapel  WO#J5135826-00333</v>
      </c>
      <c r="N205" s="22"/>
      <c r="O205" s="23"/>
      <c r="P205" s="22"/>
      <c r="Q205" s="24"/>
      <c r="R205" s="25">
        <f>+Worksheet!$AR$1</f>
        <v>33297</v>
      </c>
    </row>
    <row r="206" spans="1:18" ht="31.8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7">
        <f ca="1">H206+15</f>
        <v>15</v>
      </c>
      <c r="G207" s="447" cm="1">
        <f t="array" aca="1" ref="G207" ca="1">INDIRECT("'Worksheet'!$Y"&amp;$B205)</f>
        <v>0</v>
      </c>
      <c r="H207" s="447"/>
      <c r="I207" s="448"/>
      <c r="L207" s="164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7"/>
      <c r="H208" s="447"/>
      <c r="I208" s="448"/>
      <c r="L208" s="166"/>
      <c r="M208" s="161" t="b">
        <f t="shared" ca="1" si="15"/>
        <v>0</v>
      </c>
      <c r="N208" s="42" t="s">
        <v>40</v>
      </c>
      <c r="O208" s="368"/>
      <c r="P208" s="449"/>
      <c r="Q208" s="451"/>
      <c r="R208" s="452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3</v>
      </c>
      <c r="L210" s="167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3</v>
      </c>
    </row>
    <row r="211" spans="1:18" ht="12.75" customHeight="1">
      <c r="C211" s="168" t="s">
        <v>108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4" t="s">
        <v>111</v>
      </c>
      <c r="D212" s="344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45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5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45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45"/>
    </row>
    <row r="214" spans="1:18" ht="15.75" customHeight="1">
      <c r="C214" s="164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46"/>
      <c r="L214" s="164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46"/>
    </row>
    <row r="215" spans="1:18" ht="22.8">
      <c r="C215" s="346" cm="1">
        <f t="array" aca="1" ref="C215" ca="1">INDIRECT("'Worksheet'!$J"&amp;$B205)</f>
        <v>0</v>
      </c>
      <c r="D215" s="443" t="b" cm="1">
        <f t="array" aca="1" ref="D215" ca="1">IF(INDIRECT("'Worksheet'!$D"&amp;$B205)=1, "Left of Pair", IF(INDIRECT("'Worksheet'!$E"&amp;$B205)=1, "Panel"))</f>
        <v>0</v>
      </c>
      <c r="E215" s="443"/>
      <c r="F215" s="443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3" t="b" cm="1">
        <f t="array" aca="1" ref="M215" ca="1">IF(INDIRECT("'Worksheet'!$D"&amp;$B205)=1, "Right of Pair", IF(INDIRECT("'Worksheet'!$E"&amp;$B205)=1, "Do Not Use"))</f>
        <v>0</v>
      </c>
      <c r="N215" s="443"/>
      <c r="O215" s="443"/>
      <c r="P215" s="372"/>
      <c r="Q215" s="372"/>
      <c r="R215" s="373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+Worksheet!$W$4</f>
        <v xml:space="preserve">         Yamhill OR-chapel  WO#J5135826-00333</v>
      </c>
      <c r="E217" s="22"/>
      <c r="F217" s="23"/>
      <c r="G217" s="22"/>
      <c r="H217" s="24"/>
      <c r="I217" s="25">
        <f>+Worksheet!$AR$1</f>
        <v>33297</v>
      </c>
      <c r="J217" s="26"/>
      <c r="L217" s="164" t="s">
        <v>107</v>
      </c>
      <c r="M217" s="21" t="str">
        <f>+Worksheet!$W$4</f>
        <v xml:space="preserve">         Yamhill OR-chapel  WO#J5135826-00333</v>
      </c>
      <c r="N217" s="22"/>
      <c r="O217" s="23"/>
      <c r="P217" s="22"/>
      <c r="Q217" s="24"/>
      <c r="R217" s="25">
        <f>+Worksheet!$AR$1</f>
        <v>33297</v>
      </c>
    </row>
    <row r="218" spans="1:18" ht="31.8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7">
        <f ca="1">H218+15</f>
        <v>15</v>
      </c>
      <c r="G219" s="447" cm="1">
        <f t="array" aca="1" ref="G219" ca="1">INDIRECT("'Worksheet'!$Y"&amp;$B217)</f>
        <v>0</v>
      </c>
      <c r="H219" s="447"/>
      <c r="I219" s="448"/>
      <c r="L219" s="164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7"/>
      <c r="H220" s="447"/>
      <c r="I220" s="448"/>
      <c r="L220" s="166"/>
      <c r="M220" s="161" t="b">
        <f t="shared" ca="1" si="16"/>
        <v>0</v>
      </c>
      <c r="N220" s="42" t="s">
        <v>40</v>
      </c>
      <c r="O220" s="368"/>
      <c r="P220" s="449"/>
      <c r="Q220" s="451"/>
      <c r="R220" s="452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3</v>
      </c>
      <c r="L222" s="167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3</v>
      </c>
    </row>
    <row r="223" spans="1:18" ht="12.75" customHeight="1">
      <c r="C223" s="168" t="s">
        <v>108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4" t="s">
        <v>111</v>
      </c>
      <c r="D224" s="344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45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5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45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45"/>
    </row>
    <row r="226" spans="1:18" ht="15.75" customHeight="1">
      <c r="C226" s="164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46"/>
      <c r="L226" s="164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46"/>
    </row>
    <row r="227" spans="1:18" ht="22.8">
      <c r="C227" s="346" cm="1">
        <f t="array" aca="1" ref="C227" ca="1">INDIRECT("'Worksheet'!$J"&amp;$B217)</f>
        <v>0</v>
      </c>
      <c r="D227" s="443" t="b" cm="1">
        <f t="array" aca="1" ref="D227" ca="1">IF(INDIRECT("'Worksheet'!$D"&amp;$B217)=1, "Left of Pair", IF(INDIRECT("'Worksheet'!$E"&amp;$B217)=1, "Panel"))</f>
        <v>0</v>
      </c>
      <c r="E227" s="443"/>
      <c r="F227" s="443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3" t="b" cm="1">
        <f t="array" aca="1" ref="M227" ca="1">IF(INDIRECT("'Worksheet'!$D"&amp;$B217)=1, "Right of Pair", IF(INDIRECT("'Worksheet'!$E"&amp;$B217)=1, "Do Not Use"))</f>
        <v>0</v>
      </c>
      <c r="N227" s="443"/>
      <c r="O227" s="443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+Worksheet!$W$4</f>
        <v xml:space="preserve">         Yamhill OR-chapel  WO#J5135826-00333</v>
      </c>
      <c r="E231" s="22"/>
      <c r="F231" s="23"/>
      <c r="G231" s="22"/>
      <c r="H231" s="24"/>
      <c r="I231" s="25">
        <f>+Worksheet!$AR$1</f>
        <v>33297</v>
      </c>
      <c r="J231" s="26"/>
      <c r="L231" s="164" t="s">
        <v>107</v>
      </c>
      <c r="M231" s="21" t="str">
        <f>+Worksheet!$W$4</f>
        <v xml:space="preserve">         Yamhill OR-chapel  WO#J5135826-00333</v>
      </c>
      <c r="N231" s="22"/>
      <c r="O231" s="23"/>
      <c r="P231" s="22"/>
      <c r="Q231" s="24"/>
      <c r="R231" s="25">
        <f>+Worksheet!$AR$1</f>
        <v>33297</v>
      </c>
    </row>
    <row r="232" spans="1:18" ht="31.8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7">
        <f ca="1">H232+15</f>
        <v>15</v>
      </c>
      <c r="G233" s="447" cm="1">
        <f t="array" aca="1" ref="G233" ca="1">INDIRECT("'Worksheet'!$Y"&amp;$B231)</f>
        <v>0</v>
      </c>
      <c r="H233" s="447"/>
      <c r="I233" s="448"/>
      <c r="L233" s="164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7"/>
      <c r="H234" s="447"/>
      <c r="I234" s="448"/>
      <c r="L234" s="166"/>
      <c r="M234" s="161" t="b">
        <f t="shared" ca="1" si="17"/>
        <v>0</v>
      </c>
      <c r="N234" s="42" t="s">
        <v>40</v>
      </c>
      <c r="O234" s="368"/>
      <c r="P234" s="449"/>
      <c r="Q234" s="451"/>
      <c r="R234" s="452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3</v>
      </c>
      <c r="L236" s="167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3</v>
      </c>
    </row>
    <row r="237" spans="1:18" ht="12.75" customHeight="1">
      <c r="C237" s="168" t="s">
        <v>108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4" t="s">
        <v>111</v>
      </c>
      <c r="D238" s="344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45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5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45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45"/>
    </row>
    <row r="240" spans="1:18" ht="15.75" customHeight="1">
      <c r="C240" s="164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46"/>
      <c r="L240" s="164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46"/>
    </row>
    <row r="241" spans="1:18" ht="22.8">
      <c r="C241" s="346" cm="1">
        <f t="array" aca="1" ref="C241" ca="1">INDIRECT("'Worksheet'!$J"&amp;$B231)</f>
        <v>0</v>
      </c>
      <c r="D241" s="443" t="b" cm="1">
        <f t="array" aca="1" ref="D241" ca="1">IF(INDIRECT("'Worksheet'!$D"&amp;$B231)=1, "Left of Pair", IF(INDIRECT("'Worksheet'!$E"&amp;$B231)=1, "Panel"))</f>
        <v>0</v>
      </c>
      <c r="E241" s="443"/>
      <c r="F241" s="443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3" t="b" cm="1">
        <f t="array" aca="1" ref="M241" ca="1">IF(INDIRECT("'Worksheet'!$D"&amp;$B231)=1, "Right of Pair", IF(INDIRECT("'Worksheet'!$E"&amp;$B231)=1, "Do Not Use"))</f>
        <v>0</v>
      </c>
      <c r="N241" s="443"/>
      <c r="O241" s="443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+Worksheet!$W$4</f>
        <v xml:space="preserve">         Yamhill OR-chapel  WO#J5135826-00333</v>
      </c>
      <c r="E245" s="22"/>
      <c r="F245" s="23"/>
      <c r="G245" s="22"/>
      <c r="H245" s="24"/>
      <c r="I245" s="25">
        <f>+Worksheet!$AR$1</f>
        <v>33297</v>
      </c>
      <c r="J245" s="26"/>
      <c r="L245" s="164" t="s">
        <v>107</v>
      </c>
      <c r="M245" s="21" t="str">
        <f>+Worksheet!$W$4</f>
        <v xml:space="preserve">         Yamhill OR-chapel  WO#J5135826-00333</v>
      </c>
      <c r="N245" s="22"/>
      <c r="O245" s="23"/>
      <c r="P245" s="22"/>
      <c r="Q245" s="24"/>
      <c r="R245" s="25">
        <f>+Worksheet!$AR$1</f>
        <v>33297</v>
      </c>
    </row>
    <row r="246" spans="1:18" ht="31.8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7">
        <f ca="1">H246+15</f>
        <v>15</v>
      </c>
      <c r="G247" s="447" cm="1">
        <f t="array" aca="1" ref="G247" ca="1">INDIRECT("'Worksheet'!$Y"&amp;$B245)</f>
        <v>0</v>
      </c>
      <c r="H247" s="447"/>
      <c r="I247" s="448"/>
      <c r="L247" s="164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7"/>
      <c r="H248" s="447"/>
      <c r="I248" s="448"/>
      <c r="L248" s="166"/>
      <c r="M248" s="161" t="b">
        <f t="shared" ca="1" si="18"/>
        <v>0</v>
      </c>
      <c r="N248" s="42" t="s">
        <v>40</v>
      </c>
      <c r="O248" s="368"/>
      <c r="P248" s="449"/>
      <c r="Q248" s="451"/>
      <c r="R248" s="452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3</v>
      </c>
      <c r="L250" s="167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3</v>
      </c>
    </row>
    <row r="251" spans="1:18" ht="12.75" customHeight="1">
      <c r="C251" s="168" t="s">
        <v>108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4" t="s">
        <v>111</v>
      </c>
      <c r="D252" s="344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45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5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45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45"/>
    </row>
    <row r="254" spans="1:18" ht="15.75" customHeight="1">
      <c r="C254" s="164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46"/>
      <c r="L254" s="164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46"/>
    </row>
    <row r="255" spans="1:18" ht="22.8">
      <c r="C255" s="346" cm="1">
        <f t="array" aca="1" ref="C255" ca="1">INDIRECT("'Worksheet'!$J"&amp;$B245)</f>
        <v>0</v>
      </c>
      <c r="D255" s="443" t="b" cm="1">
        <f t="array" aca="1" ref="D255" ca="1">IF(INDIRECT("'Worksheet'!$D"&amp;$B245)=1, "Left of Pair", IF(INDIRECT("'Worksheet'!$E"&amp;$B245)=1, "Panel"))</f>
        <v>0</v>
      </c>
      <c r="E255" s="443"/>
      <c r="F255" s="443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3" t="b" cm="1">
        <f t="array" aca="1" ref="M255" ca="1">IF(INDIRECT("'Worksheet'!$D"&amp;$B245)=1, "Right of Pair", IF(INDIRECT("'Worksheet'!$E"&amp;$B245)=1, "Do Not Use"))</f>
        <v>0</v>
      </c>
      <c r="N255" s="443"/>
      <c r="O255" s="443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+Worksheet!$W$4</f>
        <v xml:space="preserve">         Yamhill OR-chapel  WO#J5135826-00333</v>
      </c>
      <c r="E259" s="22"/>
      <c r="F259" s="23"/>
      <c r="G259" s="22"/>
      <c r="H259" s="24"/>
      <c r="I259" s="25">
        <f>+Worksheet!$AR$1</f>
        <v>33297</v>
      </c>
      <c r="J259" s="26"/>
      <c r="L259" s="164" t="s">
        <v>107</v>
      </c>
      <c r="M259" s="21" t="str">
        <f>+Worksheet!$W$4</f>
        <v xml:space="preserve">         Yamhill OR-chapel  WO#J5135826-00333</v>
      </c>
      <c r="N259" s="22"/>
      <c r="O259" s="23"/>
      <c r="P259" s="22"/>
      <c r="Q259" s="24"/>
      <c r="R259" s="25">
        <f>+Worksheet!$AR$1</f>
        <v>33297</v>
      </c>
    </row>
    <row r="260" spans="1:18" ht="31.8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7">
        <f ca="1">H260+15</f>
        <v>15</v>
      </c>
      <c r="G261" s="447" cm="1">
        <f t="array" aca="1" ref="G261" ca="1">INDIRECT("'Worksheet'!$Y"&amp;$B259)</f>
        <v>0</v>
      </c>
      <c r="H261" s="447"/>
      <c r="I261" s="448"/>
      <c r="L261" s="164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7"/>
      <c r="H262" s="447"/>
      <c r="I262" s="448"/>
      <c r="L262" s="166"/>
      <c r="M262" s="161" t="b">
        <f t="shared" ca="1" si="19"/>
        <v>0</v>
      </c>
      <c r="N262" s="42" t="s">
        <v>40</v>
      </c>
      <c r="O262" s="368"/>
      <c r="P262" s="449"/>
      <c r="Q262" s="451"/>
      <c r="R262" s="452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3</v>
      </c>
      <c r="L264" s="167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3</v>
      </c>
    </row>
    <row r="265" spans="1:18" ht="12.75" customHeight="1">
      <c r="C265" s="168" t="s">
        <v>108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4" t="s">
        <v>111</v>
      </c>
      <c r="D266" s="344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45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5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45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45"/>
    </row>
    <row r="268" spans="1:18" ht="15.75" customHeight="1">
      <c r="C268" s="164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46"/>
      <c r="L268" s="164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46"/>
    </row>
    <row r="269" spans="1:18" ht="22.8">
      <c r="C269" s="346" cm="1">
        <f t="array" aca="1" ref="C269" ca="1">INDIRECT("'Worksheet'!$J"&amp;$B259)</f>
        <v>0</v>
      </c>
      <c r="D269" s="443" t="b" cm="1">
        <f t="array" aca="1" ref="D269" ca="1">IF(INDIRECT("'Worksheet'!$D"&amp;$B259)=1, "Left of Pair", IF(INDIRECT("'Worksheet'!$E"&amp;$B259)=1, "Panel"))</f>
        <v>0</v>
      </c>
      <c r="E269" s="443"/>
      <c r="F269" s="443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3" t="b" cm="1">
        <f t="array" aca="1" ref="M269" ca="1">IF(INDIRECT("'Worksheet'!$D"&amp;$B259)=1, "Right of Pair", IF(INDIRECT("'Worksheet'!$E"&amp;$B259)=1, "Do Not Use"))</f>
        <v>0</v>
      </c>
      <c r="N269" s="443"/>
      <c r="O269" s="443"/>
      <c r="P269" s="372"/>
      <c r="Q269" s="372"/>
      <c r="R269" s="373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4" t="s">
        <v>2541</v>
      </c>
      <c r="P1" s="454"/>
      <c r="Q1" s="454"/>
      <c r="R1" s="454"/>
      <c r="S1" s="454"/>
      <c r="T1" s="47"/>
      <c r="U1" s="47"/>
      <c r="V1" s="47"/>
      <c r="X1" s="305" t="s">
        <v>2542</v>
      </c>
      <c r="Y1" s="306">
        <f>Worksheet!AR1</f>
        <v>33297</v>
      </c>
    </row>
    <row r="2" spans="1:26" s="53" customFormat="1">
      <c r="A2" s="198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0" t="s">
        <v>2522</v>
      </c>
      <c r="Q4" s="420"/>
      <c r="R4" s="417">
        <f>Worksheet!R4</f>
        <v>0</v>
      </c>
      <c r="S4" s="417"/>
      <c r="T4" s="417"/>
      <c r="U4" s="171"/>
      <c r="Y4" s="301" t="s">
        <v>2291</v>
      </c>
      <c r="Z4" s="211">
        <f>Worksheet!Z4</f>
        <v>1</v>
      </c>
    </row>
    <row r="5" spans="1:26" s="53" customFormat="1" ht="15.9" customHeight="1">
      <c r="A5" s="198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" customHeight="1">
      <c r="A6" s="198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7"/>
      <c r="Q6" s="172"/>
      <c r="R6" s="318"/>
      <c r="S6" s="57"/>
      <c r="T6" s="171"/>
      <c r="U6" s="75"/>
      <c r="V6" s="69" t="s">
        <v>4</v>
      </c>
      <c r="W6" s="453" t="str">
        <f>Worksheet!W4</f>
        <v xml:space="preserve">         Yamhill OR-chapel  WO#J5135826-00333</v>
      </c>
      <c r="X6" s="453"/>
      <c r="Y6" s="319"/>
      <c r="Z6" s="66"/>
    </row>
    <row r="7" spans="1:26" s="53" customFormat="1" ht="15.75" customHeight="1">
      <c r="A7" s="198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14</v>
      </c>
      <c r="H11" s="114">
        <f>Worksheet!H11</f>
        <v>0</v>
      </c>
      <c r="I11" s="111">
        <f>Worksheet!I11</f>
        <v>135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14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135</v>
      </c>
      <c r="P11" s="250">
        <f>Worksheet!P11</f>
        <v>74</v>
      </c>
      <c r="Q11" s="322">
        <f>Worksheet!Q11</f>
        <v>0.60000000000000009</v>
      </c>
      <c r="R11" s="250">
        <f>Worksheet!R11</f>
        <v>62</v>
      </c>
      <c r="S11" s="323">
        <f>Worksheet!S11</f>
        <v>0.7</v>
      </c>
      <c r="T11" s="113"/>
      <c r="U11" s="244">
        <f>+D11+E11</f>
        <v>1</v>
      </c>
      <c r="V11" s="221" t="str">
        <f>Worksheet!V11</f>
        <v>sks or spring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door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ST</v>
      </c>
      <c r="G12" s="111">
        <f>Worksheet!G12</f>
        <v>36</v>
      </c>
      <c r="H12" s="114">
        <f>Worksheet!H12</f>
        <v>0</v>
      </c>
      <c r="I12" s="111">
        <f>Worksheet!I12</f>
        <v>74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sor t&amp;b</v>
      </c>
      <c r="K12" s="245">
        <f t="shared" ref="K12:K30" si="2">+G12</f>
        <v>36</v>
      </c>
      <c r="L12" s="246">
        <f t="shared" ref="L12:L30" si="3">IF(F12&gt;"r",0,IF(G12&gt;0,"+",0))</f>
        <v>0</v>
      </c>
      <c r="M12" s="247">
        <f>Worksheet!M12</f>
        <v>0</v>
      </c>
      <c r="N12" s="248" t="str">
        <f t="shared" ref="N12:N30" si="4">IF(G12&gt;0,"x",0)</f>
        <v>x</v>
      </c>
      <c r="O12" s="249">
        <f t="shared" si="0"/>
        <v>74</v>
      </c>
      <c r="P12" s="250">
        <f>Worksheet!P12</f>
        <v>74</v>
      </c>
      <c r="Q12" s="322">
        <f>Worksheet!Q12</f>
        <v>1.25</v>
      </c>
      <c r="R12" s="250">
        <f>Worksheet!R12</f>
        <v>62</v>
      </c>
      <c r="S12" s="323">
        <f>Worksheet!S12</f>
        <v>1.4</v>
      </c>
      <c r="T12" s="113"/>
      <c r="U12" s="244">
        <f t="shared" ref="U12:U30" si="5">+D12+E12</f>
        <v>1</v>
      </c>
      <c r="V12" s="221" t="str">
        <f>Worksheet!V12</f>
        <v>sash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1 1/2" T&amp;B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59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59</v>
      </c>
      <c r="P13" s="250">
        <f>Worksheet!P13</f>
        <v>74</v>
      </c>
      <c r="Q13" s="322">
        <f>Worksheet!Q13</f>
        <v>2.0999999999999996</v>
      </c>
      <c r="R13" s="250">
        <f>Worksheet!R13</f>
        <v>62</v>
      </c>
      <c r="S13" s="323">
        <f>Worksheet!S13</f>
        <v>2.4</v>
      </c>
      <c r="T13" s="113"/>
      <c r="U13" s="244">
        <f t="shared" si="5"/>
        <v>1</v>
      </c>
      <c r="V13" s="221" t="str">
        <f>Worksheet!V13</f>
        <v xml:space="preserve">sks  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14</v>
      </c>
      <c r="H14" s="114">
        <f>Worksheet!H14</f>
        <v>0</v>
      </c>
      <c r="I14" s="111">
        <f>Worksheet!I14</f>
        <v>122</v>
      </c>
      <c r="J14" s="245" t="str">
        <f t="shared" si="1"/>
        <v>dead</v>
      </c>
      <c r="K14" s="245">
        <f t="shared" si="2"/>
        <v>14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122</v>
      </c>
      <c r="P14" s="250">
        <f>Worksheet!P14</f>
        <v>74</v>
      </c>
      <c r="Q14" s="322">
        <f>Worksheet!Q14</f>
        <v>0.60000000000000009</v>
      </c>
      <c r="R14" s="250">
        <f>Worksheet!R14</f>
        <v>62</v>
      </c>
      <c r="S14" s="323">
        <f>Worksheet!S14</f>
        <v>0.7</v>
      </c>
      <c r="T14" s="113">
        <v>0</v>
      </c>
      <c r="U14" s="244">
        <f t="shared" si="5"/>
        <v>1</v>
      </c>
      <c r="V14" s="221" t="str">
        <f>Worksheet!V14</f>
        <v>sks or spring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R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14</v>
      </c>
      <c r="H15" s="114">
        <f>Worksheet!H15</f>
        <v>0</v>
      </c>
      <c r="I15" s="111">
        <f>Worksheet!I15</f>
        <v>122</v>
      </c>
      <c r="J15" s="245" t="str">
        <f t="shared" si="1"/>
        <v>dead</v>
      </c>
      <c r="K15" s="245">
        <f t="shared" si="2"/>
        <v>14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122</v>
      </c>
      <c r="P15" s="250">
        <f>Worksheet!P15</f>
        <v>74</v>
      </c>
      <c r="Q15" s="322">
        <f>Worksheet!Q15</f>
        <v>0.60000000000000009</v>
      </c>
      <c r="R15" s="250">
        <f>Worksheet!R15</f>
        <v>62</v>
      </c>
      <c r="S15" s="323">
        <f>Worksheet!S15</f>
        <v>0.7</v>
      </c>
      <c r="T15" s="113">
        <v>0</v>
      </c>
      <c r="U15" s="244">
        <f t="shared" si="5"/>
        <v>1</v>
      </c>
      <c r="V15" s="221" t="str">
        <f>Worksheet!V15</f>
        <v>sks or spring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 R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135</v>
      </c>
      <c r="P16" s="250">
        <f>Worksheet!P16</f>
        <v>74</v>
      </c>
      <c r="Q16" s="322">
        <f>Worksheet!Q16</f>
        <v>2.0999999999999996</v>
      </c>
      <c r="R16" s="250">
        <f>Worksheet!R16</f>
        <v>62</v>
      </c>
      <c r="S16" s="323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 R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14</v>
      </c>
      <c r="H17" s="114">
        <f>Worksheet!H17</f>
        <v>0</v>
      </c>
      <c r="I17" s="111">
        <f>Worksheet!I17</f>
        <v>135</v>
      </c>
      <c r="J17" s="245" t="str">
        <f t="shared" si="1"/>
        <v>dead</v>
      </c>
      <c r="K17" s="245">
        <f t="shared" si="2"/>
        <v>14</v>
      </c>
      <c r="L17" s="246" t="str">
        <f t="shared" si="3"/>
        <v>+</v>
      </c>
      <c r="M17" s="247">
        <f>Worksheet!M17</f>
        <v>3</v>
      </c>
      <c r="N17" s="248" t="str">
        <f t="shared" si="4"/>
        <v>x</v>
      </c>
      <c r="O17" s="249">
        <f t="shared" si="0"/>
        <v>135</v>
      </c>
      <c r="P17" s="250">
        <f>Worksheet!P17</f>
        <v>74</v>
      </c>
      <c r="Q17" s="322">
        <f>Worksheet!Q17</f>
        <v>0.60000000000000009</v>
      </c>
      <c r="R17" s="250">
        <f>Worksheet!R17</f>
        <v>62</v>
      </c>
      <c r="S17" s="323">
        <f>Worksheet!S17</f>
        <v>0.7</v>
      </c>
      <c r="T17" s="113">
        <v>0</v>
      </c>
      <c r="U17" s="244">
        <f t="shared" si="5"/>
        <v>1</v>
      </c>
      <c r="V17" s="221" t="str">
        <f>Worksheet!V17</f>
        <v>sks or spring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2">
        <f>Worksheet!Q18</f>
        <v>0</v>
      </c>
      <c r="R18" s="250" t="str">
        <f>Worksheet!R18</f>
        <v xml:space="preserve"> </v>
      </c>
      <c r="S18" s="323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2">
        <f>Worksheet!Q19</f>
        <v>0</v>
      </c>
      <c r="R19" s="250" t="str">
        <f>Worksheet!R19</f>
        <v xml:space="preserve"> </v>
      </c>
      <c r="S19" s="323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2">
        <f>Worksheet!Q20</f>
        <v>0</v>
      </c>
      <c r="R20" s="250" t="str">
        <f>Worksheet!R20</f>
        <v xml:space="preserve"> </v>
      </c>
      <c r="S20" s="323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2">
        <f>Worksheet!Q21</f>
        <v>0</v>
      </c>
      <c r="R21" s="250" t="str">
        <f>Worksheet!R21</f>
        <v xml:space="preserve"> </v>
      </c>
      <c r="S21" s="323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2">
        <f>Worksheet!Q22</f>
        <v>0</v>
      </c>
      <c r="R22" s="250" t="str">
        <f>Worksheet!R22</f>
        <v xml:space="preserve"> </v>
      </c>
      <c r="S22" s="323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2">
        <f>Worksheet!Q23</f>
        <v>0</v>
      </c>
      <c r="R23" s="250" t="str">
        <f>Worksheet!R23</f>
        <v xml:space="preserve"> </v>
      </c>
      <c r="S23" s="323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2">
        <f>Worksheet!Q24</f>
        <v>0</v>
      </c>
      <c r="R24" s="250" t="str">
        <f>Worksheet!R24</f>
        <v xml:space="preserve"> </v>
      </c>
      <c r="S24" s="323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2">
        <f>Worksheet!Q25</f>
        <v>0</v>
      </c>
      <c r="R25" s="250" t="str">
        <f>Worksheet!R25</f>
        <v xml:space="preserve"> </v>
      </c>
      <c r="S25" s="323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2">
        <f>Worksheet!Q26</f>
        <v>0</v>
      </c>
      <c r="R26" s="250" t="str">
        <f>Worksheet!R26</f>
        <v xml:space="preserve"> </v>
      </c>
      <c r="S26" s="323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2">
        <f>Worksheet!Q27</f>
        <v>0</v>
      </c>
      <c r="R27" s="250" t="str">
        <f>Worksheet!R27</f>
        <v xml:space="preserve"> </v>
      </c>
      <c r="S27" s="323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2">
        <f>Worksheet!Q28</f>
        <v>0</v>
      </c>
      <c r="R28" s="250" t="str">
        <f>Worksheet!R28</f>
        <v xml:space="preserve"> </v>
      </c>
      <c r="S28" s="323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2">
        <f>Worksheet!Q29</f>
        <v>0</v>
      </c>
      <c r="R29" s="250" t="str">
        <f>Worksheet!R29</f>
        <v xml:space="preserve"> </v>
      </c>
      <c r="S29" s="323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Worksheet!M30</f>
        <v>3</v>
      </c>
      <c r="N30" s="326">
        <f t="shared" si="4"/>
        <v>0</v>
      </c>
      <c r="O30" s="327">
        <f t="shared" si="0"/>
        <v>0</v>
      </c>
      <c r="P30" s="250" t="str">
        <f>Worksheet!P30</f>
        <v xml:space="preserve"> </v>
      </c>
      <c r="Q30" s="322">
        <f>Worksheet!Q30</f>
        <v>0</v>
      </c>
      <c r="R30" s="250" t="str">
        <f>Worksheet!R30</f>
        <v xml:space="preserve"> </v>
      </c>
      <c r="S30" s="323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301" t="s">
        <v>2537</v>
      </c>
      <c r="Z32" s="340">
        <f>Worksheet!Z32</f>
        <v>27.5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  <c r="Y33" s="301" t="s">
        <v>2538</v>
      </c>
      <c r="Z33" s="340">
        <f>Worksheet!Z33</f>
        <v>37.888888888888893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 t="s">
        <v>2539</v>
      </c>
      <c r="P34" s="340">
        <f>Worksheet!O34</f>
        <v>3.0636363636363639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4" t="s">
        <v>2548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0" t="s">
        <v>2522</v>
      </c>
      <c r="Q4" s="420"/>
      <c r="R4" s="417">
        <f>Worksheet!R4</f>
        <v>0</v>
      </c>
      <c r="S4" s="417"/>
      <c r="T4" s="417"/>
      <c r="U4" s="171"/>
      <c r="V4" s="69" t="s">
        <v>4</v>
      </c>
      <c r="W4" s="456" t="str">
        <f>Worksheet!W4</f>
        <v xml:space="preserve">         Yamhill OR-chapel  WO#J5135826-00333</v>
      </c>
      <c r="X4" s="456"/>
      <c r="Y4" s="207" t="s">
        <v>2291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7"/>
      <c r="Q5" s="57"/>
      <c r="R5" s="57"/>
      <c r="T5" s="57"/>
      <c r="U5" s="57"/>
      <c r="V5" s="66"/>
      <c r="W5" s="431" t="str">
        <f>Worksheet!W5</f>
        <v>7200 Northwest Pike Rd</v>
      </c>
      <c r="X5" s="431"/>
      <c r="Y5" s="431"/>
      <c r="Z5" s="66"/>
    </row>
    <row r="6" spans="1:26" s="53" customFormat="1" ht="15.9" customHeight="1">
      <c r="A6" s="198"/>
      <c r="B6" s="64"/>
      <c r="C6" s="57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7"/>
      <c r="Q6" s="457">
        <f>Worksheet!AR1</f>
        <v>33297</v>
      </c>
      <c r="R6" s="458"/>
      <c r="S6" s="57"/>
      <c r="T6" s="171"/>
      <c r="U6" s="75"/>
      <c r="V6" s="66"/>
      <c r="W6" s="431" t="str">
        <f>Worksheet!W6</f>
        <v>Yamhill, OR  97148-8238</v>
      </c>
      <c r="X6" s="431"/>
      <c r="Y6" s="431"/>
      <c r="Z6" s="66"/>
    </row>
    <row r="7" spans="1:26" s="53" customFormat="1" ht="15.75" customHeight="1" thickBot="1">
      <c r="A7" s="198"/>
      <c r="B7" s="64"/>
      <c r="C7" s="66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2" t="s">
        <v>2549</v>
      </c>
      <c r="Q7" s="459"/>
      <c r="R7" s="460"/>
      <c r="S7" s="57"/>
      <c r="T7" s="57"/>
      <c r="U7" s="75"/>
      <c r="V7" s="66" t="s">
        <v>102</v>
      </c>
      <c r="W7" s="336" t="str">
        <f>Worksheet!D6</f>
        <v>Colton Plessman</v>
      </c>
      <c r="X7" s="163" t="str">
        <f>Worksheet!J6</f>
        <v>971-334-0446</v>
      </c>
      <c r="Y7" s="163"/>
      <c r="Z7" s="66"/>
    </row>
    <row r="8" spans="1:26" s="53" customFormat="1" ht="21" customHeight="1">
      <c r="A8" s="198"/>
      <c r="B8" s="64"/>
      <c r="C8" s="57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>
        <f>Worksheet!W7</f>
        <v>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14</v>
      </c>
      <c r="H11" s="114">
        <f>Worksheet!H11</f>
        <v>0</v>
      </c>
      <c r="I11" s="111">
        <f>Worksheet!I11</f>
        <v>135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14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135</v>
      </c>
      <c r="P11" s="250">
        <f>Worksheet!P11</f>
        <v>74</v>
      </c>
      <c r="Q11" s="322">
        <f>Worksheet!Q11</f>
        <v>0.60000000000000009</v>
      </c>
      <c r="R11" s="250">
        <f>Worksheet!R11</f>
        <v>62</v>
      </c>
      <c r="S11" s="323">
        <f>Worksheet!S11</f>
        <v>0.7</v>
      </c>
      <c r="T11" s="113"/>
      <c r="U11" s="244">
        <f>+D11+E11</f>
        <v>1</v>
      </c>
      <c r="V11" s="221" t="str">
        <f>Worksheet!V11</f>
        <v>sks or spring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door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ST</v>
      </c>
      <c r="G12" s="111">
        <f>Worksheet!G12</f>
        <v>36</v>
      </c>
      <c r="H12" s="114">
        <f>Worksheet!H12</f>
        <v>0</v>
      </c>
      <c r="I12" s="111">
        <f>Worksheet!I12</f>
        <v>74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sor t&amp;b</v>
      </c>
      <c r="K12" s="245">
        <f t="shared" ref="K12:K30" si="2">+G12</f>
        <v>36</v>
      </c>
      <c r="L12" s="246">
        <f t="shared" ref="L12:L30" si="3">IF(F12&gt;"r",0,IF(G12&gt;0,"+",0))</f>
        <v>0</v>
      </c>
      <c r="M12" s="247">
        <f>Worksheet!M12</f>
        <v>0</v>
      </c>
      <c r="N12" s="248" t="str">
        <f t="shared" ref="N12:N30" si="4">IF(G12&gt;0,"x",0)</f>
        <v>x</v>
      </c>
      <c r="O12" s="249">
        <f t="shared" si="0"/>
        <v>74</v>
      </c>
      <c r="P12" s="250">
        <f>Worksheet!P12</f>
        <v>74</v>
      </c>
      <c r="Q12" s="322">
        <f>Worksheet!Q12</f>
        <v>1.25</v>
      </c>
      <c r="R12" s="250">
        <f>Worksheet!R12</f>
        <v>62</v>
      </c>
      <c r="S12" s="323">
        <f>Worksheet!S12</f>
        <v>1.4</v>
      </c>
      <c r="T12" s="113"/>
      <c r="U12" s="244">
        <f t="shared" ref="U12:U30" si="5">+D12+E12</f>
        <v>1</v>
      </c>
      <c r="V12" s="221" t="str">
        <f>Worksheet!V12</f>
        <v>sash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1 1/2" T&amp;B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59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59</v>
      </c>
      <c r="P13" s="250">
        <f>Worksheet!P13</f>
        <v>74</v>
      </c>
      <c r="Q13" s="322">
        <f>Worksheet!Q13</f>
        <v>2.0999999999999996</v>
      </c>
      <c r="R13" s="250">
        <f>Worksheet!R13</f>
        <v>62</v>
      </c>
      <c r="S13" s="323">
        <f>Worksheet!S13</f>
        <v>2.4</v>
      </c>
      <c r="T13" s="113"/>
      <c r="U13" s="244">
        <f t="shared" si="5"/>
        <v>1</v>
      </c>
      <c r="V13" s="221" t="str">
        <f>Worksheet!V13</f>
        <v xml:space="preserve">sks  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14</v>
      </c>
      <c r="H14" s="114">
        <f>Worksheet!H14</f>
        <v>0</v>
      </c>
      <c r="I14" s="111">
        <f>Worksheet!I14</f>
        <v>122</v>
      </c>
      <c r="J14" s="245" t="str">
        <f t="shared" si="1"/>
        <v>dead</v>
      </c>
      <c r="K14" s="245">
        <f t="shared" si="2"/>
        <v>14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122</v>
      </c>
      <c r="P14" s="250">
        <f>Worksheet!P14</f>
        <v>74</v>
      </c>
      <c r="Q14" s="322">
        <f>Worksheet!Q14</f>
        <v>0.60000000000000009</v>
      </c>
      <c r="R14" s="250">
        <f>Worksheet!R14</f>
        <v>62</v>
      </c>
      <c r="S14" s="323">
        <f>Worksheet!S14</f>
        <v>0.7</v>
      </c>
      <c r="T14" s="113">
        <v>0</v>
      </c>
      <c r="U14" s="244">
        <f t="shared" si="5"/>
        <v>1</v>
      </c>
      <c r="V14" s="221" t="str">
        <f>Worksheet!V14</f>
        <v>sks or spring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R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14</v>
      </c>
      <c r="H15" s="114">
        <f>Worksheet!H15</f>
        <v>0</v>
      </c>
      <c r="I15" s="111">
        <f>Worksheet!I15</f>
        <v>122</v>
      </c>
      <c r="J15" s="245" t="str">
        <f t="shared" si="1"/>
        <v>dead</v>
      </c>
      <c r="K15" s="245">
        <f t="shared" si="2"/>
        <v>14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122</v>
      </c>
      <c r="P15" s="250">
        <f>Worksheet!P15</f>
        <v>74</v>
      </c>
      <c r="Q15" s="322">
        <f>Worksheet!Q15</f>
        <v>0.60000000000000009</v>
      </c>
      <c r="R15" s="250">
        <f>Worksheet!R15</f>
        <v>62</v>
      </c>
      <c r="S15" s="323">
        <f>Worksheet!S15</f>
        <v>0.7</v>
      </c>
      <c r="T15" s="113">
        <v>0</v>
      </c>
      <c r="U15" s="244">
        <f t="shared" si="5"/>
        <v>1</v>
      </c>
      <c r="V15" s="221" t="str">
        <f>Worksheet!V15</f>
        <v>sks or spring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 R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135</v>
      </c>
      <c r="P16" s="250">
        <f>Worksheet!P16</f>
        <v>74</v>
      </c>
      <c r="Q16" s="322">
        <f>Worksheet!Q16</f>
        <v>2.0999999999999996</v>
      </c>
      <c r="R16" s="250">
        <f>Worksheet!R16</f>
        <v>62</v>
      </c>
      <c r="S16" s="323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 R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14</v>
      </c>
      <c r="H17" s="114">
        <f>Worksheet!H17</f>
        <v>0</v>
      </c>
      <c r="I17" s="111">
        <f>Worksheet!I17</f>
        <v>135</v>
      </c>
      <c r="J17" s="245" t="str">
        <f t="shared" si="1"/>
        <v>dead</v>
      </c>
      <c r="K17" s="245">
        <f t="shared" si="2"/>
        <v>14</v>
      </c>
      <c r="L17" s="246" t="str">
        <f t="shared" si="3"/>
        <v>+</v>
      </c>
      <c r="M17" s="247">
        <f>Worksheet!M17</f>
        <v>3</v>
      </c>
      <c r="N17" s="248" t="str">
        <f t="shared" si="4"/>
        <v>x</v>
      </c>
      <c r="O17" s="249">
        <f t="shared" si="0"/>
        <v>135</v>
      </c>
      <c r="P17" s="250">
        <f>Worksheet!P17</f>
        <v>74</v>
      </c>
      <c r="Q17" s="322">
        <f>Worksheet!Q17</f>
        <v>0.60000000000000009</v>
      </c>
      <c r="R17" s="250">
        <f>Worksheet!R17</f>
        <v>62</v>
      </c>
      <c r="S17" s="323">
        <f>Worksheet!S17</f>
        <v>0.7</v>
      </c>
      <c r="T17" s="113">
        <v>0</v>
      </c>
      <c r="U17" s="244">
        <f t="shared" si="5"/>
        <v>1</v>
      </c>
      <c r="V17" s="221" t="str">
        <f>Worksheet!V17</f>
        <v>sks or spring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2">
        <f>Worksheet!Q18</f>
        <v>0</v>
      </c>
      <c r="R18" s="250" t="str">
        <f>Worksheet!R18</f>
        <v xml:space="preserve"> </v>
      </c>
      <c r="S18" s="323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2">
        <f>Worksheet!Q19</f>
        <v>0</v>
      </c>
      <c r="R19" s="250" t="str">
        <f>Worksheet!R19</f>
        <v xml:space="preserve"> </v>
      </c>
      <c r="S19" s="323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2">
        <f>Worksheet!Q20</f>
        <v>0</v>
      </c>
      <c r="R20" s="250" t="str">
        <f>Worksheet!R20</f>
        <v xml:space="preserve"> </v>
      </c>
      <c r="S20" s="323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2">
        <f>Worksheet!Q21</f>
        <v>0</v>
      </c>
      <c r="R21" s="250" t="str">
        <f>Worksheet!R21</f>
        <v xml:space="preserve"> </v>
      </c>
      <c r="S21" s="323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2">
        <f>Worksheet!Q22</f>
        <v>0</v>
      </c>
      <c r="R22" s="250" t="str">
        <f>Worksheet!R22</f>
        <v xml:space="preserve"> </v>
      </c>
      <c r="S22" s="323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2">
        <f>Worksheet!Q23</f>
        <v>0</v>
      </c>
      <c r="R23" s="250" t="str">
        <f>Worksheet!R23</f>
        <v xml:space="preserve"> </v>
      </c>
      <c r="S23" s="323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2">
        <f>Worksheet!Q24</f>
        <v>0</v>
      </c>
      <c r="R24" s="250" t="str">
        <f>Worksheet!R24</f>
        <v xml:space="preserve"> </v>
      </c>
      <c r="S24" s="323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2">
        <f>Worksheet!Q25</f>
        <v>0</v>
      </c>
      <c r="R25" s="250" t="str">
        <f>Worksheet!R25</f>
        <v xml:space="preserve"> </v>
      </c>
      <c r="S25" s="323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2">
        <f>Worksheet!Q26</f>
        <v>0</v>
      </c>
      <c r="R26" s="250" t="str">
        <f>Worksheet!R26</f>
        <v xml:space="preserve"> </v>
      </c>
      <c r="S26" s="323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2">
        <f>Worksheet!Q27</f>
        <v>0</v>
      </c>
      <c r="R27" s="250" t="str">
        <f>Worksheet!R27</f>
        <v xml:space="preserve"> </v>
      </c>
      <c r="S27" s="323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2">
        <f>Worksheet!Q28</f>
        <v>0</v>
      </c>
      <c r="R28" s="250" t="str">
        <f>Worksheet!R28</f>
        <v xml:space="preserve"> </v>
      </c>
      <c r="S28" s="323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2">
        <f>Worksheet!Q29</f>
        <v>0</v>
      </c>
      <c r="R29" s="250" t="str">
        <f>Worksheet!R29</f>
        <v xml:space="preserve"> </v>
      </c>
      <c r="S29" s="323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Worksheet!M30</f>
        <v>3</v>
      </c>
      <c r="N30" s="326">
        <f t="shared" si="4"/>
        <v>0</v>
      </c>
      <c r="O30" s="327">
        <f t="shared" si="0"/>
        <v>0</v>
      </c>
      <c r="P30" s="250" t="str">
        <f>Worksheet!P30</f>
        <v xml:space="preserve"> </v>
      </c>
      <c r="Q30" s="322">
        <f>Worksheet!Q30</f>
        <v>0</v>
      </c>
      <c r="R30" s="250" t="str">
        <f>Worksheet!R30</f>
        <v xml:space="preserve"> </v>
      </c>
      <c r="S30" s="323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1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1" t="s">
        <v>2554</v>
      </c>
      <c r="P1" s="461"/>
      <c r="Q1" s="461"/>
      <c r="R1" s="461"/>
      <c r="S1" s="461"/>
      <c r="T1" s="47"/>
      <c r="U1" s="47"/>
      <c r="V1" s="47"/>
      <c r="X1" s="305" t="s">
        <v>2542</v>
      </c>
      <c r="Y1" s="306">
        <f>Worksheet!AR1</f>
        <v>33297</v>
      </c>
    </row>
    <row r="2" spans="1:26" s="53" customFormat="1">
      <c r="A2" s="198"/>
      <c r="B2" s="307"/>
      <c r="C2" s="308"/>
      <c r="D2" s="309"/>
      <c r="E2" s="310"/>
      <c r="F2" s="310"/>
      <c r="G2" s="310"/>
      <c r="H2" s="311"/>
      <c r="I2" s="310"/>
      <c r="J2" s="310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</row>
    <row r="3" spans="1:26" s="53" customFormat="1" ht="15.9" customHeight="1" thickBot="1">
      <c r="A3" s="198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0" t="s">
        <v>2522</v>
      </c>
      <c r="Q4" s="420"/>
      <c r="R4" s="417">
        <f>Worksheet!R4</f>
        <v>0</v>
      </c>
      <c r="S4" s="417"/>
      <c r="T4" s="417"/>
      <c r="U4" s="171"/>
      <c r="V4" s="254" t="s">
        <v>39</v>
      </c>
      <c r="W4" s="255">
        <f>Worksheet!W32</f>
        <v>0</v>
      </c>
      <c r="X4" s="255"/>
      <c r="Y4" s="301" t="s">
        <v>2291</v>
      </c>
      <c r="Z4" s="211">
        <f>Worksheet!Z4</f>
        <v>1</v>
      </c>
    </row>
    <row r="5" spans="1:26" s="53" customFormat="1" ht="15.9" customHeight="1">
      <c r="A5" s="198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9"/>
      <c r="Z5" s="66"/>
    </row>
    <row r="6" spans="1:26" s="53" customFormat="1" ht="15.9" customHeight="1">
      <c r="A6" s="198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Worksheet!W4</f>
        <v xml:space="preserve">         Yamhill OR-chapel  WO#J5135826-00333</v>
      </c>
      <c r="O6" s="321"/>
      <c r="P6" s="65"/>
      <c r="Q6" s="337"/>
      <c r="R6" s="338"/>
      <c r="S6" s="57"/>
      <c r="T6" s="171"/>
      <c r="U6" s="75"/>
      <c r="V6" s="163"/>
      <c r="W6" s="163">
        <f>Worksheet!W34</f>
        <v>0</v>
      </c>
      <c r="X6" s="163"/>
      <c r="Y6" s="319"/>
      <c r="Z6" s="66"/>
    </row>
    <row r="7" spans="1:26" s="53" customFormat="1" ht="15.75" customHeight="1">
      <c r="A7" s="198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Chapel L</v>
      </c>
      <c r="C11" s="155" t="str">
        <f>Worksheet!C11</f>
        <v>X</v>
      </c>
      <c r="D11" s="112">
        <f>Worksheet!D11</f>
        <v>0</v>
      </c>
      <c r="E11" s="113">
        <f>Worksheet!E11</f>
        <v>1</v>
      </c>
      <c r="F11" s="113" t="str">
        <f>Worksheet!F11</f>
        <v>D</v>
      </c>
      <c r="G11" s="111">
        <f>Worksheet!G11</f>
        <v>14</v>
      </c>
      <c r="H11" s="114">
        <f>Worksheet!H11</f>
        <v>0</v>
      </c>
      <c r="I11" s="111">
        <f>Worksheet!I11</f>
        <v>135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14</v>
      </c>
      <c r="L11" s="246" t="str">
        <f>IF(F11&gt;"r",0,IF(G11&gt;0,"+",0))</f>
        <v>+</v>
      </c>
      <c r="M11" s="247">
        <f>Worksheet!M11</f>
        <v>3</v>
      </c>
      <c r="N11" s="248" t="str">
        <f>IF(G11&gt;0,"x",0)</f>
        <v>x</v>
      </c>
      <c r="O11" s="249">
        <f t="shared" ref="O11:O30" si="0">+I11</f>
        <v>135</v>
      </c>
      <c r="P11" s="250">
        <f>Worksheet!P11</f>
        <v>74</v>
      </c>
      <c r="Q11" s="322">
        <f>Worksheet!Q11</f>
        <v>0.60000000000000009</v>
      </c>
      <c r="R11" s="250">
        <f>Worksheet!R11</f>
        <v>62</v>
      </c>
      <c r="S11" s="323">
        <f>Worksheet!S11</f>
        <v>0.7</v>
      </c>
      <c r="T11" s="113"/>
      <c r="U11" s="244">
        <f>+D11+E11</f>
        <v>1</v>
      </c>
      <c r="V11" s="221" t="str">
        <f>Worksheet!V11</f>
        <v>sks or spring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Chapel door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ST</v>
      </c>
      <c r="G12" s="111">
        <f>Worksheet!G12</f>
        <v>36</v>
      </c>
      <c r="H12" s="114">
        <f>Worksheet!H12</f>
        <v>0</v>
      </c>
      <c r="I12" s="111">
        <f>Worksheet!I12</f>
        <v>74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sor t&amp;b</v>
      </c>
      <c r="K12" s="245">
        <f t="shared" ref="K12:K30" si="2">+G12</f>
        <v>36</v>
      </c>
      <c r="L12" s="246">
        <f t="shared" ref="L12:L30" si="3">IF(F12&gt;"r",0,IF(G12&gt;0,"+",0))</f>
        <v>0</v>
      </c>
      <c r="M12" s="247">
        <f>Worksheet!M12</f>
        <v>0</v>
      </c>
      <c r="N12" s="248" t="str">
        <f t="shared" ref="N12:N30" si="4">IF(G12&gt;0,"x",0)</f>
        <v>x</v>
      </c>
      <c r="O12" s="249">
        <f t="shared" si="0"/>
        <v>74</v>
      </c>
      <c r="P12" s="250">
        <f>Worksheet!P12</f>
        <v>74</v>
      </c>
      <c r="Q12" s="322">
        <f>Worksheet!Q12</f>
        <v>1.25</v>
      </c>
      <c r="R12" s="250">
        <f>Worksheet!R12</f>
        <v>62</v>
      </c>
      <c r="S12" s="323">
        <f>Worksheet!S12</f>
        <v>1.4</v>
      </c>
      <c r="T12" s="113"/>
      <c r="U12" s="244">
        <f t="shared" ref="U12:U30" si="5">+D12+E12</f>
        <v>1</v>
      </c>
      <c r="V12" s="221" t="str">
        <f>Worksheet!V12</f>
        <v>sash</v>
      </c>
      <c r="W12" s="221" t="str">
        <f>Worksheet!W12</f>
        <v>5th Avenue 72</v>
      </c>
      <c r="X12" s="222" t="str">
        <f>Worksheet!X12</f>
        <v xml:space="preserve">Flameguard </v>
      </c>
      <c r="Y12" s="57" t="str">
        <f>Worksheet!Y12</f>
        <v>1 1/2" T&amp;B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L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48</v>
      </c>
      <c r="H13" s="114">
        <f>Worksheet!H13</f>
        <v>3.5</v>
      </c>
      <c r="I13" s="111">
        <f>Worksheet!I13</f>
        <v>59</v>
      </c>
      <c r="J13" s="245">
        <f t="shared" si="1"/>
        <v>0</v>
      </c>
      <c r="K13" s="245">
        <f t="shared" si="2"/>
        <v>48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59</v>
      </c>
      <c r="P13" s="250">
        <f>Worksheet!P13</f>
        <v>74</v>
      </c>
      <c r="Q13" s="322">
        <f>Worksheet!Q13</f>
        <v>2.0999999999999996</v>
      </c>
      <c r="R13" s="250">
        <f>Worksheet!R13</f>
        <v>62</v>
      </c>
      <c r="S13" s="323">
        <f>Worksheet!S13</f>
        <v>2.4</v>
      </c>
      <c r="T13" s="113"/>
      <c r="U13" s="244">
        <f t="shared" si="5"/>
        <v>1</v>
      </c>
      <c r="V13" s="221" t="str">
        <f>Worksheet!V13</f>
        <v xml:space="preserve">sks  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L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D</v>
      </c>
      <c r="G14" s="111">
        <f>Worksheet!G14</f>
        <v>14</v>
      </c>
      <c r="H14" s="114">
        <f>Worksheet!H14</f>
        <v>0</v>
      </c>
      <c r="I14" s="111">
        <f>Worksheet!I14</f>
        <v>122</v>
      </c>
      <c r="J14" s="245" t="str">
        <f t="shared" si="1"/>
        <v>dead</v>
      </c>
      <c r="K14" s="245">
        <f t="shared" si="2"/>
        <v>14</v>
      </c>
      <c r="L14" s="246" t="str">
        <f t="shared" si="3"/>
        <v>+</v>
      </c>
      <c r="M14" s="247">
        <f>Worksheet!M14</f>
        <v>3</v>
      </c>
      <c r="N14" s="248" t="str">
        <f t="shared" si="4"/>
        <v>x</v>
      </c>
      <c r="O14" s="249">
        <f t="shared" si="0"/>
        <v>122</v>
      </c>
      <c r="P14" s="250">
        <f>Worksheet!P14</f>
        <v>74</v>
      </c>
      <c r="Q14" s="322">
        <f>Worksheet!Q14</f>
        <v>0.60000000000000009</v>
      </c>
      <c r="R14" s="250">
        <f>Worksheet!R14</f>
        <v>62</v>
      </c>
      <c r="S14" s="323">
        <f>Worksheet!S14</f>
        <v>0.7</v>
      </c>
      <c r="T14" s="113">
        <v>0</v>
      </c>
      <c r="U14" s="244">
        <f t="shared" si="5"/>
        <v>1</v>
      </c>
      <c r="V14" s="221" t="str">
        <f>Worksheet!V14</f>
        <v>sks or spring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R</v>
      </c>
      <c r="C15" s="155" t="str">
        <f>Worksheet!C15</f>
        <v>X</v>
      </c>
      <c r="D15" s="112">
        <f>Worksheet!D15</f>
        <v>0</v>
      </c>
      <c r="E15" s="113">
        <f>Worksheet!E15</f>
        <v>1</v>
      </c>
      <c r="F15" s="113" t="str">
        <f>Worksheet!F15</f>
        <v>D</v>
      </c>
      <c r="G15" s="111">
        <f>Worksheet!G15</f>
        <v>14</v>
      </c>
      <c r="H15" s="114">
        <f>Worksheet!H15</f>
        <v>0</v>
      </c>
      <c r="I15" s="111">
        <f>Worksheet!I15</f>
        <v>122</v>
      </c>
      <c r="J15" s="245" t="str">
        <f t="shared" si="1"/>
        <v>dead</v>
      </c>
      <c r="K15" s="245">
        <f t="shared" si="2"/>
        <v>14</v>
      </c>
      <c r="L15" s="246" t="str">
        <f t="shared" si="3"/>
        <v>+</v>
      </c>
      <c r="M15" s="247">
        <f>Worksheet!M15</f>
        <v>3</v>
      </c>
      <c r="N15" s="248" t="str">
        <f t="shared" si="4"/>
        <v>x</v>
      </c>
      <c r="O15" s="249">
        <f t="shared" si="0"/>
        <v>122</v>
      </c>
      <c r="P15" s="250">
        <f>Worksheet!P15</f>
        <v>74</v>
      </c>
      <c r="Q15" s="322">
        <f>Worksheet!Q15</f>
        <v>0.60000000000000009</v>
      </c>
      <c r="R15" s="250">
        <f>Worksheet!R15</f>
        <v>62</v>
      </c>
      <c r="S15" s="323">
        <f>Worksheet!S15</f>
        <v>0.7</v>
      </c>
      <c r="T15" s="113">
        <v>0</v>
      </c>
      <c r="U15" s="244">
        <f t="shared" si="5"/>
        <v>1</v>
      </c>
      <c r="V15" s="221" t="str">
        <f>Worksheet!V15</f>
        <v>sks or spring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Chapel R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48</v>
      </c>
      <c r="H16" s="114">
        <f>Worksheet!H16</f>
        <v>3.5</v>
      </c>
      <c r="I16" s="111">
        <f>Worksheet!I16</f>
        <v>135</v>
      </c>
      <c r="J16" s="245">
        <f t="shared" si="1"/>
        <v>0</v>
      </c>
      <c r="K16" s="245">
        <f t="shared" si="2"/>
        <v>48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135</v>
      </c>
      <c r="P16" s="250">
        <f>Worksheet!P16</f>
        <v>74</v>
      </c>
      <c r="Q16" s="322">
        <f>Worksheet!Q16</f>
        <v>2.0999999999999996</v>
      </c>
      <c r="R16" s="250">
        <f>Worksheet!R16</f>
        <v>62</v>
      </c>
      <c r="S16" s="323">
        <f>Worksheet!S16</f>
        <v>2.4</v>
      </c>
      <c r="T16" s="113">
        <v>0</v>
      </c>
      <c r="U16" s="244">
        <f t="shared" si="5"/>
        <v>1</v>
      </c>
      <c r="V16" s="221" t="str">
        <f>Worksheet!V16</f>
        <v>sks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Chapel R</v>
      </c>
      <c r="C17" s="155" t="str">
        <f>Worksheet!C17</f>
        <v>X</v>
      </c>
      <c r="D17" s="112">
        <f>Worksheet!D17</f>
        <v>0</v>
      </c>
      <c r="E17" s="113">
        <f>Worksheet!E17</f>
        <v>1</v>
      </c>
      <c r="F17" s="113" t="str">
        <f>Worksheet!F17</f>
        <v>D</v>
      </c>
      <c r="G17" s="111">
        <f>Worksheet!G17</f>
        <v>14</v>
      </c>
      <c r="H17" s="114">
        <f>Worksheet!H17</f>
        <v>0</v>
      </c>
      <c r="I17" s="111">
        <f>Worksheet!I17</f>
        <v>135</v>
      </c>
      <c r="J17" s="245" t="str">
        <f t="shared" si="1"/>
        <v>dead</v>
      </c>
      <c r="K17" s="245">
        <f t="shared" si="2"/>
        <v>14</v>
      </c>
      <c r="L17" s="246" t="str">
        <f t="shared" si="3"/>
        <v>+</v>
      </c>
      <c r="M17" s="247">
        <f>Worksheet!M17</f>
        <v>3</v>
      </c>
      <c r="N17" s="248" t="str">
        <f t="shared" si="4"/>
        <v>x</v>
      </c>
      <c r="O17" s="249">
        <f t="shared" si="0"/>
        <v>135</v>
      </c>
      <c r="P17" s="250">
        <f>Worksheet!P17</f>
        <v>74</v>
      </c>
      <c r="Q17" s="322">
        <f>Worksheet!Q17</f>
        <v>0.60000000000000009</v>
      </c>
      <c r="R17" s="250">
        <f>Worksheet!R17</f>
        <v>62</v>
      </c>
      <c r="S17" s="323">
        <f>Worksheet!S17</f>
        <v>0.7</v>
      </c>
      <c r="T17" s="113">
        <v>0</v>
      </c>
      <c r="U17" s="244">
        <f t="shared" si="5"/>
        <v>1</v>
      </c>
      <c r="V17" s="221" t="str">
        <f>Worksheet!V17</f>
        <v>sks or spring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2">
        <f>Worksheet!Q18</f>
        <v>0</v>
      </c>
      <c r="R18" s="250" t="str">
        <f>Worksheet!R18</f>
        <v xml:space="preserve"> </v>
      </c>
      <c r="S18" s="323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2">
        <f>Worksheet!Q19</f>
        <v>0</v>
      </c>
      <c r="R19" s="250" t="str">
        <f>Worksheet!R19</f>
        <v xml:space="preserve"> </v>
      </c>
      <c r="S19" s="323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2">
        <f>Worksheet!Q20</f>
        <v>0</v>
      </c>
      <c r="R20" s="250" t="str">
        <f>Worksheet!R20</f>
        <v xml:space="preserve"> </v>
      </c>
      <c r="S20" s="323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2">
        <f>Worksheet!Q21</f>
        <v>0</v>
      </c>
      <c r="R21" s="250" t="str">
        <f>Worksheet!R21</f>
        <v xml:space="preserve"> </v>
      </c>
      <c r="S21" s="323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2">
        <f>Worksheet!Q22</f>
        <v>0</v>
      </c>
      <c r="R22" s="250" t="str">
        <f>Worksheet!R22</f>
        <v xml:space="preserve"> </v>
      </c>
      <c r="S22" s="323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2">
        <f>Worksheet!Q23</f>
        <v>0</v>
      </c>
      <c r="R23" s="250" t="str">
        <f>Worksheet!R23</f>
        <v xml:space="preserve"> </v>
      </c>
      <c r="S23" s="323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2">
        <f>Worksheet!Q24</f>
        <v>0</v>
      </c>
      <c r="R24" s="250" t="str">
        <f>Worksheet!R24</f>
        <v xml:space="preserve"> </v>
      </c>
      <c r="S24" s="323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2">
        <f>Worksheet!Q25</f>
        <v>0</v>
      </c>
      <c r="R25" s="250" t="str">
        <f>Worksheet!R25</f>
        <v xml:space="preserve"> </v>
      </c>
      <c r="S25" s="323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2">
        <f>Worksheet!Q26</f>
        <v>0</v>
      </c>
      <c r="R26" s="250" t="str">
        <f>Worksheet!R26</f>
        <v xml:space="preserve"> </v>
      </c>
      <c r="S26" s="323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2">
        <f>Worksheet!Q27</f>
        <v>0</v>
      </c>
      <c r="R27" s="250" t="str">
        <f>Worksheet!R27</f>
        <v xml:space="preserve"> </v>
      </c>
      <c r="S27" s="323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2">
        <f>Worksheet!Q28</f>
        <v>0</v>
      </c>
      <c r="R28" s="250" t="str">
        <f>Worksheet!R28</f>
        <v xml:space="preserve"> </v>
      </c>
      <c r="S28" s="323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2">
        <f>Worksheet!Q29</f>
        <v>0</v>
      </c>
      <c r="R29" s="250" t="str">
        <f>Worksheet!R29</f>
        <v xml:space="preserve"> </v>
      </c>
      <c r="S29" s="323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7">
        <f>Worksheet!M30</f>
        <v>3</v>
      </c>
      <c r="N30" s="326">
        <f t="shared" si="4"/>
        <v>0</v>
      </c>
      <c r="O30" s="327">
        <f t="shared" si="0"/>
        <v>0</v>
      </c>
      <c r="P30" s="250" t="str">
        <f>Worksheet!P30</f>
        <v xml:space="preserve"> </v>
      </c>
      <c r="Q30" s="322">
        <f>Worksheet!Q30</f>
        <v>0</v>
      </c>
      <c r="R30" s="250" t="str">
        <f>Worksheet!R30</f>
        <v xml:space="preserve"> </v>
      </c>
      <c r="S30" s="323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8"/>
      <c r="J31" s="328"/>
      <c r="K31" s="329"/>
      <c r="L31" s="329"/>
      <c r="M31" s="329"/>
      <c r="N31" s="329"/>
      <c r="O31" s="330"/>
      <c r="P31" s="329"/>
      <c r="Q31" s="329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3"/>
      <c r="P32" s="304"/>
      <c r="Q32" s="304"/>
      <c r="R32" s="57"/>
      <c r="S32" s="57"/>
      <c r="T32" s="57"/>
      <c r="U32" s="66"/>
      <c r="V32" s="301" t="s">
        <v>2546</v>
      </c>
      <c r="W32" s="331">
        <f>Worksheet!Z32</f>
        <v>27.5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1" t="s">
        <v>2547</v>
      </c>
      <c r="W33" s="331">
        <f>Worksheet!Z33</f>
        <v>37.888888888888893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2" t="s">
        <v>2539</v>
      </c>
      <c r="P34" s="340">
        <f>Worksheet!O34</f>
        <v>3.0636363636363639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2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2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2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8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8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 or spring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sash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 xml:space="preserve">sks  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 t="str">
        <f>Worksheet!V14</f>
        <v>sks or spring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5</v>
      </c>
      <c r="K39" s="231"/>
      <c r="L39" s="204">
        <v>5</v>
      </c>
      <c r="M39" s="237" t="str">
        <f>Worksheet!V15</f>
        <v>sks or spring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10</v>
      </c>
      <c r="K40" s="231"/>
      <c r="L40" s="204">
        <v>6</v>
      </c>
      <c r="M40" s="237" t="str">
        <f>Worksheet!V16</f>
        <v>sks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14</v>
      </c>
      <c r="K41" s="231"/>
      <c r="L41" s="204">
        <v>7</v>
      </c>
      <c r="M41" s="237" t="str">
        <f>Worksheet!V17</f>
        <v>sks or spring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5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5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14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5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8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8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8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5.8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2.5166666666666666</v>
      </c>
      <c r="C68">
        <f>Worksheet!AE11</f>
        <v>4.0277777777777777</v>
      </c>
      <c r="D68">
        <f>IF(Worksheet!AA11&gt;0,(Worksheet!AA11*Worksheet!P11+8)/36,0)</f>
        <v>1.4555555555555555</v>
      </c>
      <c r="E68">
        <f>IF(Worksheet!M11&gt;0,Worksheet!AA11+1,0)</f>
        <v>1.6</v>
      </c>
      <c r="F68">
        <f ca="1">IF(Worksheet!M11&gt;0,I39+2,0)</f>
        <v>7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3</v>
      </c>
      <c r="C69">
        <f>Worksheet!AE12</f>
        <v>4.666666666666667</v>
      </c>
      <c r="D69">
        <f>IF(Worksheet!AA12&gt;0,(Worksheet!AA12*Worksheet!P12+8)/36,0)</f>
        <v>2.6888888888888887</v>
      </c>
      <c r="E69">
        <f>IF(Worksheet!M12&gt;0,Worksheet!AA12+1,0)</f>
        <v>0</v>
      </c>
      <c r="F69">
        <f>IF(Worksheet!M12&gt;0,I40+2,0)</f>
        <v>0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4.375</v>
      </c>
      <c r="C70">
        <f>Worksheet!AE13</f>
        <v>5.75</v>
      </c>
      <c r="D70">
        <f>IF(Worksheet!AA13&gt;0,(Worksheet!AA13*Worksheet!P13+8)/36,0)</f>
        <v>4.5388888888888888</v>
      </c>
      <c r="E70">
        <f>IF(Worksheet!M13&gt;0,Worksheet!AA13+1,0)</f>
        <v>3.1</v>
      </c>
      <c r="F70">
        <f ca="1">IF(Worksheet!M13&gt;0,I41+2,0)</f>
        <v>16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2.2999999999999998</v>
      </c>
      <c r="C71">
        <f>Worksheet!AE14</f>
        <v>3.6666666666666665</v>
      </c>
      <c r="D71">
        <f>IF(Worksheet!AA14&gt;0,(Worksheet!AA14*Worksheet!P14+8)/36,0)</f>
        <v>1.4555555555555555</v>
      </c>
      <c r="E71">
        <f>IF(Worksheet!M14&gt;0,Worksheet!AA14+1,0)</f>
        <v>1.6</v>
      </c>
      <c r="F71">
        <f ca="1">IF(Worksheet!M14&gt;0,I42+2,0)</f>
        <v>7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2.2999999999999998</v>
      </c>
      <c r="C72">
        <f>Worksheet!AE15</f>
        <v>3.6666666666666665</v>
      </c>
      <c r="D72">
        <f>IF(Worksheet!AA15&gt;0,(Worksheet!AA15*Worksheet!P15+8)/36,0)</f>
        <v>1.4555555555555555</v>
      </c>
      <c r="E72">
        <f>IF(Worksheet!M15&gt;0,Worksheet!AA15+1,0)</f>
        <v>1.6</v>
      </c>
      <c r="F72">
        <f ca="1">IF(Worksheet!M15&gt;0,I43+2,0)</f>
        <v>7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8.8083333333333336</v>
      </c>
      <c r="C73">
        <f>Worksheet!AE16</f>
        <v>12.083333333333334</v>
      </c>
      <c r="D73">
        <f>IF(Worksheet!AA16&gt;0,(Worksheet!AA16*Worksheet!P16+8)/36,0)</f>
        <v>4.5388888888888888</v>
      </c>
      <c r="E73">
        <f>IF(Worksheet!M16&gt;0,Worksheet!AA16+1,0)</f>
        <v>3.1</v>
      </c>
      <c r="F73">
        <f ca="1">IF(Worksheet!M16&gt;0,I44+2,0)</f>
        <v>16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2.5166666666666666</v>
      </c>
      <c r="C74">
        <f>Worksheet!AE17</f>
        <v>4.0277777777777777</v>
      </c>
      <c r="D74">
        <f>IF(Worksheet!AA17&gt;0,(Worksheet!AA17*Worksheet!P17+8)/36,0)</f>
        <v>1.4555555555555555</v>
      </c>
      <c r="E74">
        <f>IF(Worksheet!M17&gt;0,Worksheet!AA17+1,0)</f>
        <v>1.6</v>
      </c>
      <c r="F74">
        <f ca="1">IF(Worksheet!M17&gt;0,I45+2,0)</f>
        <v>7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>
        <f>IF(Worksheet!M12&gt;0,I64+2,0)</f>
        <v>0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99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 or spring</v>
      </c>
    </row>
    <row r="130" spans="2:2">
      <c r="B130" t="str">
        <f>Worksheet!V12</f>
        <v>sash</v>
      </c>
    </row>
    <row r="131" spans="2:2">
      <c r="B131" t="str">
        <f>Worksheet!V13</f>
        <v xml:space="preserve">sks  </v>
      </c>
    </row>
    <row r="132" spans="2:2">
      <c r="B132" t="str">
        <f>Worksheet!V14</f>
        <v>sks or spring</v>
      </c>
    </row>
    <row r="133" spans="2:2">
      <c r="B133" t="str">
        <f>Worksheet!V15</f>
        <v>sks or spring</v>
      </c>
    </row>
    <row r="134" spans="2:2">
      <c r="B134" t="str">
        <f>Worksheet!V16</f>
        <v>sks</v>
      </c>
    </row>
    <row r="135" spans="2:2">
      <c r="B135" t="str">
        <f>Worksheet!V17</f>
        <v>sks or spring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2">
        <f>Worksheet!AR1</f>
        <v>33297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45652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7" t="str">
        <f>Worksheet!D3</f>
        <v>JLL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20" t="s">
        <v>2522</v>
      </c>
      <c r="Q4" s="420"/>
      <c r="R4" s="417">
        <f>Worksheet!R4</f>
        <v>0</v>
      </c>
      <c r="S4" s="417"/>
      <c r="T4" s="417"/>
      <c r="U4" s="171"/>
      <c r="V4" s="69" t="s">
        <v>4</v>
      </c>
      <c r="W4" s="387" t="str">
        <f>Worksheet!W4</f>
        <v xml:space="preserve">         Yamhill OR-chapel  WO#J5135826-00333</v>
      </c>
      <c r="X4" s="375"/>
      <c r="Y4" s="207" t="s">
        <v>2291</v>
      </c>
      <c r="Z4" s="211">
        <v>2</v>
      </c>
      <c r="AB4" s="423" t="s">
        <v>2581</v>
      </c>
      <c r="AC4" s="424"/>
      <c r="AD4" s="424"/>
      <c r="AE4" s="424"/>
      <c r="AF4" s="425"/>
      <c r="AG4" s="389" t="s">
        <v>4</v>
      </c>
      <c r="AH4" s="438" t="str">
        <f>W4</f>
        <v xml:space="preserve">         Yamhill OR-chapel  WO#J5135826-00333</v>
      </c>
      <c r="AI4" s="438"/>
      <c r="AJ4" s="438"/>
      <c r="AK4" s="438"/>
      <c r="AM4" s="62"/>
      <c r="AN4" s="67"/>
      <c r="AO4" s="62"/>
      <c r="AP4" s="62"/>
      <c r="AQ4" s="379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5" t="s">
        <v>2492</v>
      </c>
      <c r="BC4" s="435"/>
      <c r="BD4" s="435"/>
      <c r="BE4" s="435"/>
      <c r="BF4" s="435"/>
      <c r="BG4" s="435"/>
      <c r="BH4" s="435"/>
      <c r="BI4" s="435"/>
      <c r="BJ4" s="435"/>
      <c r="BO4" s="196"/>
    </row>
    <row r="5" spans="1:67" s="53" customFormat="1" ht="15.9" customHeight="1">
      <c r="A5" s="198"/>
      <c r="B5" s="64"/>
      <c r="C5" s="57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7"/>
      <c r="Q5" s="57"/>
      <c r="R5" s="57"/>
      <c r="T5" s="57"/>
      <c r="U5" s="57"/>
      <c r="V5" s="66"/>
      <c r="W5" s="374" t="str">
        <f>Worksheet!W5</f>
        <v>7200 Northwest Pike Rd</v>
      </c>
      <c r="X5" s="374"/>
      <c r="Y5" s="374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380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348" t="str">
        <f>Worksheet!D6</f>
        <v>Colton Plessman</v>
      </c>
      <c r="E6" s="348"/>
      <c r="F6" s="348"/>
      <c r="G6" s="348"/>
      <c r="H6" s="348"/>
      <c r="I6" s="77" t="s">
        <v>103</v>
      </c>
      <c r="J6" s="349" t="str">
        <f>Worksheet!J6</f>
        <v>971-334-0446</v>
      </c>
      <c r="K6" s="349"/>
      <c r="L6" s="349"/>
      <c r="M6" s="349"/>
      <c r="N6" s="349"/>
      <c r="O6" s="349"/>
      <c r="P6" s="57"/>
      <c r="Q6" s="172"/>
      <c r="R6" s="57"/>
      <c r="S6" s="57"/>
      <c r="T6" s="171"/>
      <c r="U6" s="75"/>
      <c r="V6" s="66"/>
      <c r="W6" s="374" t="str">
        <f>Worksheet!W6</f>
        <v>Yamhill, OR  97148-8238</v>
      </c>
      <c r="X6" s="374"/>
      <c r="Y6" s="374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4">
        <f>Worksheet!D7</f>
        <v>0</v>
      </c>
      <c r="E7" s="374"/>
      <c r="F7" s="374"/>
      <c r="G7" s="374"/>
      <c r="H7" s="374"/>
      <c r="I7" s="77" t="s">
        <v>105</v>
      </c>
      <c r="J7" s="349" t="str">
        <f>Worksheet!J7</f>
        <v>colton.plessman@jll.com</v>
      </c>
      <c r="K7" s="349"/>
      <c r="L7" s="349"/>
      <c r="M7" s="349"/>
      <c r="N7" s="349"/>
      <c r="O7" s="349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2" t="s">
        <v>2580</v>
      </c>
      <c r="AE7" s="388">
        <v>2.5</v>
      </c>
      <c r="AF7" s="66"/>
      <c r="AG7" s="72"/>
      <c r="AH7" s="79"/>
      <c r="AI7" s="79"/>
      <c r="AJ7" s="66"/>
      <c r="AK7" s="66"/>
      <c r="AL7" s="190">
        <f>sew_price/2</f>
        <v>27.5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66</v>
      </c>
      <c r="AK8" s="440"/>
      <c r="AL8" s="191">
        <f>sew_price</f>
        <v>55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1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8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1" t="s">
        <v>135</v>
      </c>
      <c r="AB9" s="362" t="s">
        <v>136</v>
      </c>
      <c r="AC9" s="82" t="s">
        <v>6</v>
      </c>
      <c r="AD9" s="218" t="s">
        <v>134</v>
      </c>
      <c r="AE9" s="363" t="s">
        <v>6</v>
      </c>
      <c r="AF9" s="85"/>
      <c r="AG9" s="91"/>
      <c r="AH9" s="418" t="s">
        <v>121</v>
      </c>
      <c r="AI9" s="418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2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9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4" t="s">
        <v>40</v>
      </c>
      <c r="AB10" s="103" t="s">
        <v>10</v>
      </c>
      <c r="AC10" s="154" t="s">
        <v>124</v>
      </c>
      <c r="AD10" s="220" t="s">
        <v>10</v>
      </c>
      <c r="AE10" s="365" t="s">
        <v>125</v>
      </c>
      <c r="AF10" s="99"/>
      <c r="AG10" s="100" t="s">
        <v>2498</v>
      </c>
      <c r="AH10" s="419"/>
      <c r="AI10" s="419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2">
        <f t="shared" ref="Q12:Q30" si="29">IF(D12+E12&gt;0,IF(F12&gt;"u",0,IF(BA12="RR","RR",+BB12)),0)</f>
        <v>0</v>
      </c>
      <c r="R12" s="250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2">
        <f t="shared" si="29"/>
        <v>0</v>
      </c>
      <c r="R13" s="250" t="str">
        <f t="shared" si="2"/>
        <v xml:space="preserve"> </v>
      </c>
      <c r="S13" s="353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2">
        <f t="shared" si="29"/>
        <v>0</v>
      </c>
      <c r="R14" s="250" t="str">
        <f t="shared" si="2"/>
        <v xml:space="preserve"> </v>
      </c>
      <c r="S14" s="353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2">
        <f t="shared" si="29"/>
        <v>0</v>
      </c>
      <c r="R15" s="250" t="str">
        <f t="shared" si="2"/>
        <v xml:space="preserve"> </v>
      </c>
      <c r="S15" s="353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2">
        <f t="shared" si="29"/>
        <v>0</v>
      </c>
      <c r="R16" s="250" t="str">
        <f t="shared" si="2"/>
        <v xml:space="preserve"> </v>
      </c>
      <c r="S16" s="353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2">
        <f t="shared" si="29"/>
        <v>0</v>
      </c>
      <c r="R17" s="250" t="str">
        <f t="shared" si="2"/>
        <v xml:space="preserve"> </v>
      </c>
      <c r="S17" s="353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2">
        <f t="shared" si="29"/>
        <v>0</v>
      </c>
      <c r="R18" s="250" t="str">
        <f t="shared" si="2"/>
        <v xml:space="preserve"> </v>
      </c>
      <c r="S18" s="353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2">
        <f t="shared" si="29"/>
        <v>0</v>
      </c>
      <c r="R19" s="250" t="str">
        <f t="shared" si="2"/>
        <v xml:space="preserve"> </v>
      </c>
      <c r="S19" s="353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2">
        <f t="shared" si="29"/>
        <v>0</v>
      </c>
      <c r="R20" s="250" t="str">
        <f t="shared" si="2"/>
        <v xml:space="preserve"> </v>
      </c>
      <c r="S20" s="353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2">
        <f t="shared" si="29"/>
        <v>0</v>
      </c>
      <c r="R21" s="250" t="str">
        <f t="shared" si="2"/>
        <v xml:space="preserve"> </v>
      </c>
      <c r="S21" s="353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2">
        <f t="shared" si="29"/>
        <v>0</v>
      </c>
      <c r="R22" s="250" t="str">
        <f t="shared" si="2"/>
        <v xml:space="preserve"> </v>
      </c>
      <c r="S22" s="353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2">
        <f t="shared" si="29"/>
        <v>0</v>
      </c>
      <c r="R23" s="250" t="str">
        <f t="shared" si="2"/>
        <v xml:space="preserve"> </v>
      </c>
      <c r="S23" s="353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2">
        <f t="shared" si="29"/>
        <v>0</v>
      </c>
      <c r="R24" s="250" t="str">
        <f t="shared" si="2"/>
        <v xml:space="preserve"> </v>
      </c>
      <c r="S24" s="353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2">
        <f t="shared" si="29"/>
        <v>0</v>
      </c>
      <c r="R25" s="250" t="str">
        <f t="shared" si="2"/>
        <v xml:space="preserve"> </v>
      </c>
      <c r="S25" s="353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2">
        <f t="shared" si="29"/>
        <v>0</v>
      </c>
      <c r="R26" s="250" t="str">
        <f t="shared" si="2"/>
        <v xml:space="preserve"> </v>
      </c>
      <c r="S26" s="353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2">
        <f t="shared" si="29"/>
        <v>0</v>
      </c>
      <c r="R27" s="250" t="str">
        <f t="shared" si="2"/>
        <v xml:space="preserve"> </v>
      </c>
      <c r="S27" s="353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2">
        <f t="shared" si="29"/>
        <v>0</v>
      </c>
      <c r="R28" s="250" t="str">
        <f t="shared" si="2"/>
        <v xml:space="preserve"> </v>
      </c>
      <c r="S28" s="353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2">
        <f t="shared" si="29"/>
        <v>0</v>
      </c>
      <c r="R29" s="250" t="str">
        <f t="shared" si="2"/>
        <v xml:space="preserve"> </v>
      </c>
      <c r="S29" s="353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2">
        <f t="shared" si="29"/>
        <v>0</v>
      </c>
      <c r="R30" s="250" t="str">
        <f t="shared" si="2"/>
        <v xml:space="preserve"> </v>
      </c>
      <c r="S30" s="353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8">
        <f>SUM(AC11:AC30)</f>
        <v>0</v>
      </c>
      <c r="AD31" s="359"/>
      <c r="AE31" s="354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3"/>
      <c r="P32" s="304"/>
      <c r="Q32" s="304"/>
      <c r="R32" s="57"/>
      <c r="S32" s="57"/>
      <c r="T32" s="57"/>
      <c r="U32" s="66"/>
      <c r="V32" s="339"/>
      <c r="W32" s="66"/>
      <c r="X32" s="66"/>
      <c r="Y32" s="301"/>
      <c r="Z32" s="149"/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4"/>
      <c r="AP32" s="64"/>
      <c r="AQ32" s="43"/>
      <c r="AR32" s="385"/>
      <c r="AS32" s="185"/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378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1"/>
      <c r="Z33" s="149"/>
      <c r="AA33" s="43"/>
      <c r="AB33" s="441"/>
      <c r="AE33" s="66"/>
      <c r="AF33" s="43"/>
      <c r="AK33" s="46"/>
      <c r="AL33" s="66"/>
      <c r="AM33" s="382"/>
      <c r="AN33" s="136"/>
      <c r="AO33" s="64"/>
      <c r="AP33" s="386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8"/>
      <c r="C34" s="43"/>
      <c r="D34" s="149"/>
      <c r="E34" s="43"/>
      <c r="F34" s="66"/>
      <c r="G34" s="57"/>
      <c r="H34" s="80"/>
      <c r="N34" s="302" t="s">
        <v>2539</v>
      </c>
      <c r="O34" s="340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8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2"/>
      <c r="H37" s="333"/>
      <c r="I37" s="332"/>
      <c r="J37" s="332"/>
      <c r="K37" s="332"/>
      <c r="L37" s="332"/>
      <c r="M37" s="332"/>
      <c r="N37" s="332"/>
      <c r="O37" s="334"/>
      <c r="R37" s="66"/>
      <c r="S37" s="66"/>
      <c r="T37" s="66"/>
      <c r="U37" s="66"/>
      <c r="V37" s="436" t="s">
        <v>20</v>
      </c>
      <c r="W37" s="437"/>
      <c r="X37" s="78" t="str">
        <f>Worksheet!X37</f>
        <v>Travis Bradshaw</v>
      </c>
      <c r="Y37" s="258"/>
      <c r="AG37" s="46"/>
      <c r="AJ37" s="66"/>
      <c r="AK37" s="66"/>
      <c r="AN37" s="381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3"/>
      <c r="AP38" s="383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50">
        <f>SUM(Q11:Q30)</f>
        <v>0</v>
      </c>
      <c r="S43" s="350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 xml:space="preserve">         Yamhill OR-chapel  WO#J5135826-00333</v>
      </c>
      <c r="E1" s="22"/>
      <c r="F1" s="23"/>
      <c r="G1" s="22"/>
      <c r="H1" s="24"/>
      <c r="I1" s="25">
        <f>+'Worksheet 2'!$AR$1</f>
        <v>33297</v>
      </c>
      <c r="J1" s="26"/>
      <c r="L1" s="164" t="s">
        <v>107</v>
      </c>
      <c r="M1" s="21" t="str">
        <f>+'Worksheet 2'!$W$4</f>
        <v xml:space="preserve">         Yamhill OR-chapel  WO#J5135826-00333</v>
      </c>
      <c r="N1" s="22"/>
      <c r="O1" s="23"/>
      <c r="P1" s="22"/>
      <c r="Q1" s="24"/>
      <c r="R1" s="25">
        <f>+'Worksheet 2'!$AR$1</f>
        <v>33297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7">
        <f ca="1">H2+15</f>
        <v>15</v>
      </c>
      <c r="G3" s="447" cm="1">
        <f t="array" aca="1" ref="G3" ca="1">INDIRECT("'Worksheet 2'!$Y"&amp;$B1)</f>
        <v>0</v>
      </c>
      <c r="H3" s="447"/>
      <c r="I3" s="448"/>
      <c r="L3" s="164" t="s">
        <v>115</v>
      </c>
      <c r="M3" t="b">
        <f t="shared" ca="1" si="0"/>
        <v>0</v>
      </c>
      <c r="N3" s="19" t="s">
        <v>116</v>
      </c>
      <c r="O3" s="367">
        <f ca="1">F3</f>
        <v>15</v>
      </c>
      <c r="P3" s="449">
        <f ca="1">G3</f>
        <v>0</v>
      </c>
      <c r="Q3" s="449"/>
      <c r="R3" s="450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7"/>
      <c r="H4" s="447"/>
      <c r="I4" s="448"/>
      <c r="L4" s="166"/>
      <c r="M4" s="161" t="b">
        <f t="shared" ca="1" si="0"/>
        <v>0</v>
      </c>
      <c r="N4" s="42" t="s">
        <v>40</v>
      </c>
      <c r="O4" s="368"/>
      <c r="P4" s="449"/>
      <c r="Q4" s="451"/>
      <c r="R4" s="452"/>
    </row>
    <row r="5" spans="1:18" ht="15.6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7" t="str">
        <f ca="1">F5</f>
        <v xml:space="preserve"> </v>
      </c>
      <c r="P5" s="19"/>
      <c r="Q5" s="341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0</v>
      </c>
      <c r="L6" s="167"/>
      <c r="M6" s="342" t="str">
        <f t="shared" ca="1" si="0"/>
        <v xml:space="preserve"> </v>
      </c>
      <c r="N6" s="343" t="s">
        <v>40</v>
      </c>
      <c r="O6" s="370"/>
      <c r="P6" s="20"/>
      <c r="Q6" s="341" t="s">
        <v>110</v>
      </c>
      <c r="R6" s="32">
        <f ca="1">I6</f>
        <v>0</v>
      </c>
    </row>
    <row r="7" spans="1:18" ht="15" customHeight="1">
      <c r="C7" s="168" t="s">
        <v>108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4" t="s">
        <v>111</v>
      </c>
      <c r="D8" s="344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45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45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45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5"/>
    </row>
    <row r="10" spans="1:18" ht="15.75" customHeight="1">
      <c r="C10" s="164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46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6"/>
    </row>
    <row r="11" spans="1:18" ht="22.8">
      <c r="C11" s="346" cm="1">
        <f t="array" aca="1" ref="C11" ca="1">INDIRECT("'Worksheet 2'!$J"&amp;$B1)</f>
        <v>0</v>
      </c>
      <c r="D11" s="443" t="b" cm="1">
        <f t="array" aca="1" ref="D11" ca="1">IF(INDIRECT("'Worksheet 2'!$D"&amp;$B1)=1, "Left of Pair", IF(INDIRECT("'Worksheet 2'!$E"&amp;$B1)=1, "Panel"))</f>
        <v>0</v>
      </c>
      <c r="E11" s="443"/>
      <c r="F11" s="443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3" t="b" cm="1">
        <f t="array" aca="1" ref="M11" ca="1">IF(INDIRECT("'Worksheet 2'!$D"&amp;$B1)=1, "Right of Pair", IF(INDIRECT("'Worksheet 2'!$E"&amp;$B1)=1, "Do Not Use"))</f>
        <v>0</v>
      </c>
      <c r="N11" s="443"/>
      <c r="O11" s="443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 xml:space="preserve">         Yamhill OR-chapel  WO#J5135826-00333</v>
      </c>
      <c r="E15" s="22"/>
      <c r="F15" s="23"/>
      <c r="G15" s="22"/>
      <c r="H15" s="24"/>
      <c r="I15" s="25">
        <f>+'Worksheet 2'!$AR$1</f>
        <v>33297</v>
      </c>
      <c r="J15" s="26"/>
      <c r="L15" s="164" t="s">
        <v>107</v>
      </c>
      <c r="M15" s="21" t="str">
        <f>+'Worksheet 2'!$W$4</f>
        <v xml:space="preserve">         Yamhill OR-chapel  WO#J5135826-00333</v>
      </c>
      <c r="N15" s="22"/>
      <c r="O15" s="23"/>
      <c r="P15" s="22"/>
      <c r="Q15" s="24"/>
      <c r="R15" s="25">
        <f>+'Worksheet 2'!$AR$1</f>
        <v>33297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7">
        <f ca="1">H16+15</f>
        <v>15</v>
      </c>
      <c r="G17" s="447" cm="1">
        <f t="array" aca="1" ref="G17" ca="1">INDIRECT("'Worksheet 2'!$Y"&amp;$B15)</f>
        <v>0</v>
      </c>
      <c r="H17" s="447"/>
      <c r="I17" s="448"/>
      <c r="L17" s="164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49">
        <f ca="1">G17</f>
        <v>0</v>
      </c>
      <c r="Q17" s="449"/>
      <c r="R17" s="450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7"/>
      <c r="H18" s="447"/>
      <c r="I18" s="448"/>
      <c r="L18" s="166"/>
      <c r="M18" s="161" t="b">
        <f t="shared" ca="1" si="1"/>
        <v>0</v>
      </c>
      <c r="N18" s="42" t="s">
        <v>40</v>
      </c>
      <c r="O18" s="368"/>
      <c r="P18" s="449"/>
      <c r="Q18" s="451"/>
      <c r="R18" s="452"/>
    </row>
    <row r="19" spans="1:18" ht="15.6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0</v>
      </c>
      <c r="L20" s="167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0</v>
      </c>
    </row>
    <row r="21" spans="1:18" ht="12.75" customHeight="1">
      <c r="C21" s="168" t="s">
        <v>108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4" t="s">
        <v>111</v>
      </c>
      <c r="D22" s="344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45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5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45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5"/>
    </row>
    <row r="24" spans="1:18" ht="15.75" customHeight="1">
      <c r="C24" s="164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46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6"/>
    </row>
    <row r="25" spans="1:18" ht="22.8">
      <c r="C25" s="346" cm="1">
        <f t="array" aca="1" ref="C25" ca="1">INDIRECT("'Worksheet 2'!$J"&amp;$B15)</f>
        <v>0</v>
      </c>
      <c r="D25" s="443" t="b" cm="1">
        <f t="array" aca="1" ref="D25" ca="1">IF(INDIRECT("'Worksheet 2'!$D"&amp;$B15)=1, "Left of Pair", IF(INDIRECT("'Worksheet 2'!$E"&amp;$B15)=1, "Panel"))</f>
        <v>0</v>
      </c>
      <c r="E25" s="443"/>
      <c r="F25" s="443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3" t="b" cm="1">
        <f t="array" aca="1" ref="M25" ca="1">IF(INDIRECT("'Worksheet 2'!$D"&amp;$B15)=1, "Right of Pair", IF(INDIRECT("'Worksheet 2'!$E"&amp;$B15)=1, "Do Not Use"))</f>
        <v>0</v>
      </c>
      <c r="N25" s="443"/>
      <c r="O25" s="443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+'Worksheet 2'!$W$4</f>
        <v xml:space="preserve">         Yamhill OR-chapel  WO#J5135826-00333</v>
      </c>
      <c r="E29" s="22"/>
      <c r="F29" s="23"/>
      <c r="G29" s="22"/>
      <c r="H29" s="24"/>
      <c r="I29" s="25">
        <f>+'Worksheet 2'!$AR$1</f>
        <v>33297</v>
      </c>
      <c r="J29" s="26"/>
      <c r="L29" s="164" t="s">
        <v>107</v>
      </c>
      <c r="M29" s="21" t="str">
        <f>+'Worksheet 2'!$W$4</f>
        <v xml:space="preserve">         Yamhill OR-chapel  WO#J5135826-00333</v>
      </c>
      <c r="N29" s="22"/>
      <c r="O29" s="23"/>
      <c r="P29" s="22"/>
      <c r="Q29" s="24"/>
      <c r="R29" s="25">
        <f>+'Worksheet 2'!$AR$1</f>
        <v>33297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7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4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49">
        <f ca="1">G31</f>
        <v>0</v>
      </c>
      <c r="Q31" s="449"/>
      <c r="R31" s="450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7"/>
      <c r="H32" s="447"/>
      <c r="I32" s="448"/>
      <c r="L32" s="166"/>
      <c r="M32" s="161" t="b">
        <f t="shared" ca="1" si="2"/>
        <v>0</v>
      </c>
      <c r="N32" s="42" t="s">
        <v>40</v>
      </c>
      <c r="O32" s="368"/>
      <c r="P32" s="449"/>
      <c r="Q32" s="451"/>
      <c r="R32" s="452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0</v>
      </c>
      <c r="L34" s="167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0</v>
      </c>
    </row>
    <row r="35" spans="1:18" ht="12.75" customHeight="1">
      <c r="C35" s="168" t="s">
        <v>108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4" t="s">
        <v>111</v>
      </c>
      <c r="D36" s="344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45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5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45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5"/>
    </row>
    <row r="38" spans="1:18" ht="15.75" customHeight="1">
      <c r="C38" s="164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46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6"/>
    </row>
    <row r="39" spans="1:18" ht="20.25" customHeight="1">
      <c r="C39" s="346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2"/>
      <c r="Q39" s="372"/>
      <c r="R39" s="373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+'Worksheet 2'!$W$4</f>
        <v xml:space="preserve">         Yamhill OR-chapel  WO#J5135826-00333</v>
      </c>
      <c r="E43" s="22"/>
      <c r="F43" s="23"/>
      <c r="G43" s="22"/>
      <c r="H43" s="24"/>
      <c r="I43" s="25">
        <f>+'Worksheet 2'!$AR$1</f>
        <v>33297</v>
      </c>
      <c r="J43" s="26"/>
      <c r="L43" s="164" t="s">
        <v>107</v>
      </c>
      <c r="M43" s="21" t="str">
        <f>+'Worksheet 2'!$W$4</f>
        <v xml:space="preserve">         Yamhill OR-chapel  WO#J5135826-00333</v>
      </c>
      <c r="N43" s="22"/>
      <c r="O43" s="23"/>
      <c r="P43" s="22"/>
      <c r="Q43" s="24"/>
      <c r="R43" s="25">
        <f>+'Worksheet 2'!$AR$1</f>
        <v>33297</v>
      </c>
    </row>
    <row r="44" spans="1:18" ht="31.8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7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4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7"/>
      <c r="H46" s="447"/>
      <c r="I46" s="448"/>
      <c r="L46" s="166"/>
      <c r="M46" s="161" t="b">
        <f t="shared" ca="1" si="3"/>
        <v>0</v>
      </c>
      <c r="N46" s="42" t="s">
        <v>40</v>
      </c>
      <c r="O46" s="368"/>
      <c r="P46" s="449"/>
      <c r="Q46" s="451"/>
      <c r="R46" s="452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0</v>
      </c>
      <c r="L48" s="167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0</v>
      </c>
    </row>
    <row r="49" spans="1:18" ht="12.75" customHeight="1">
      <c r="C49" s="168" t="s">
        <v>108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4" t="s">
        <v>111</v>
      </c>
      <c r="D50" s="344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45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5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45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5"/>
    </row>
    <row r="52" spans="1:18" ht="15.75" customHeight="1">
      <c r="C52" s="164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46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6"/>
    </row>
    <row r="53" spans="1:18" ht="22.8">
      <c r="C53" s="346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2"/>
      <c r="Q53" s="372"/>
      <c r="R53" s="373"/>
    </row>
    <row r="55" spans="1:18" ht="18.600000000000001">
      <c r="A55" t="s">
        <v>27</v>
      </c>
      <c r="B55">
        <v>15</v>
      </c>
      <c r="C55" s="164" t="s">
        <v>107</v>
      </c>
      <c r="D55" s="21" t="str">
        <f>+'Worksheet 2'!$W$4</f>
        <v xml:space="preserve">         Yamhill OR-chapel  WO#J5135826-00333</v>
      </c>
      <c r="E55" s="22"/>
      <c r="F55" s="23"/>
      <c r="G55" s="22"/>
      <c r="H55" s="24"/>
      <c r="I55" s="25">
        <f>+'Worksheet 2'!$AR$1</f>
        <v>33297</v>
      </c>
      <c r="J55" s="26"/>
      <c r="L55" s="164" t="s">
        <v>107</v>
      </c>
      <c r="M55" s="21" t="str">
        <f>+'Worksheet 2'!$W$4</f>
        <v xml:space="preserve">         Yamhill OR-chapel  WO#J5135826-00333</v>
      </c>
      <c r="N55" s="22"/>
      <c r="O55" s="23"/>
      <c r="P55" s="22"/>
      <c r="Q55" s="24"/>
      <c r="R55" s="25">
        <f>+'Worksheet 2'!$AR$1</f>
        <v>33297</v>
      </c>
    </row>
    <row r="56" spans="1:18" ht="31.8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7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4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7"/>
      <c r="H58" s="447"/>
      <c r="I58" s="448"/>
      <c r="L58" s="166"/>
      <c r="M58" s="161" t="b">
        <f t="shared" ca="1" si="4"/>
        <v>0</v>
      </c>
      <c r="N58" s="42" t="s">
        <v>40</v>
      </c>
      <c r="O58" s="368"/>
      <c r="P58" s="449"/>
      <c r="Q58" s="451"/>
      <c r="R58" s="452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0</v>
      </c>
      <c r="L60" s="167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0</v>
      </c>
    </row>
    <row r="61" spans="1:18" ht="12.75" customHeight="1">
      <c r="C61" s="168" t="s">
        <v>108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4" t="s">
        <v>111</v>
      </c>
      <c r="D62" s="344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45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5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45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5"/>
    </row>
    <row r="64" spans="1:18" ht="15.75" customHeight="1">
      <c r="C64" s="164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46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6"/>
    </row>
    <row r="65" spans="1:18" ht="22.8">
      <c r="C65" s="346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+'Worksheet 2'!$W$4</f>
        <v xml:space="preserve">         Yamhill OR-chapel  WO#J5135826-00333</v>
      </c>
      <c r="E69" s="22"/>
      <c r="F69" s="23"/>
      <c r="G69" s="22"/>
      <c r="H69" s="24"/>
      <c r="I69" s="25">
        <f>+'Worksheet 2'!$AR$1</f>
        <v>33297</v>
      </c>
      <c r="J69" s="26"/>
      <c r="L69" s="164" t="s">
        <v>107</v>
      </c>
      <c r="M69" s="21" t="str">
        <f>+'Worksheet 2'!$W$4</f>
        <v xml:space="preserve">         Yamhill OR-chapel  WO#J5135826-00333</v>
      </c>
      <c r="N69" s="22"/>
      <c r="O69" s="23"/>
      <c r="P69" s="22"/>
      <c r="Q69" s="24"/>
      <c r="R69" s="25">
        <f>+'Worksheet 2'!$AR$1</f>
        <v>33297</v>
      </c>
    </row>
    <row r="70" spans="1:18" ht="31.8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7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4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7"/>
      <c r="H72" s="447"/>
      <c r="I72" s="448"/>
      <c r="L72" s="166"/>
      <c r="M72" s="161" t="b">
        <f t="shared" ca="1" si="5"/>
        <v>0</v>
      </c>
      <c r="N72" s="42" t="s">
        <v>40</v>
      </c>
      <c r="O72" s="368"/>
      <c r="P72" s="449"/>
      <c r="Q72" s="451"/>
      <c r="R72" s="452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0</v>
      </c>
      <c r="L74" s="167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0</v>
      </c>
    </row>
    <row r="75" spans="1:18" ht="12.75" customHeight="1">
      <c r="C75" s="168" t="s">
        <v>108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4" t="s">
        <v>111</v>
      </c>
      <c r="D76" s="344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45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5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45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5"/>
    </row>
    <row r="78" spans="1:18" ht="15.75" customHeight="1">
      <c r="C78" s="164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46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6"/>
    </row>
    <row r="79" spans="1:18" ht="22.8">
      <c r="C79" s="346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+'Worksheet 2'!$W$4</f>
        <v xml:space="preserve">         Yamhill OR-chapel  WO#J5135826-00333</v>
      </c>
      <c r="E83" s="22"/>
      <c r="F83" s="23"/>
      <c r="G83" s="22"/>
      <c r="H83" s="24"/>
      <c r="I83" s="25">
        <f>+'Worksheet 2'!$AR$1</f>
        <v>33297</v>
      </c>
      <c r="J83" s="26"/>
      <c r="L83" s="164" t="s">
        <v>107</v>
      </c>
      <c r="M83" s="21" t="str">
        <f>+'Worksheet 2'!$W$4</f>
        <v xml:space="preserve">         Yamhill OR-chapel  WO#J5135826-00333</v>
      </c>
      <c r="N83" s="22"/>
      <c r="O83" s="23"/>
      <c r="P83" s="22"/>
      <c r="Q83" s="24"/>
      <c r="R83" s="25">
        <f>+'Worksheet 2'!$AR$1</f>
        <v>33297</v>
      </c>
    </row>
    <row r="84" spans="1:18" ht="31.8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7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4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7"/>
      <c r="H86" s="447"/>
      <c r="I86" s="448"/>
      <c r="L86" s="166"/>
      <c r="M86" s="161" t="b">
        <f t="shared" ca="1" si="6"/>
        <v>0</v>
      </c>
      <c r="N86" s="42" t="s">
        <v>40</v>
      </c>
      <c r="O86" s="368"/>
      <c r="P86" s="449"/>
      <c r="Q86" s="451"/>
      <c r="R86" s="452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0</v>
      </c>
      <c r="L88" s="167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0</v>
      </c>
    </row>
    <row r="89" spans="1:18" ht="12.75" customHeight="1">
      <c r="C89" s="168" t="s">
        <v>108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4" t="s">
        <v>111</v>
      </c>
      <c r="D90" s="344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45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5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45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5"/>
    </row>
    <row r="92" spans="1:18" ht="15.75" customHeight="1">
      <c r="C92" s="164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46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6"/>
    </row>
    <row r="93" spans="1:18" ht="22.8">
      <c r="C93" s="346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+'Worksheet 2'!$W$4</f>
        <v xml:space="preserve">         Yamhill OR-chapel  WO#J5135826-00333</v>
      </c>
      <c r="E97" s="22"/>
      <c r="F97" s="23"/>
      <c r="G97" s="22"/>
      <c r="H97" s="24"/>
      <c r="I97" s="25">
        <f>+'Worksheet 2'!$AR$1</f>
        <v>33297</v>
      </c>
      <c r="J97" s="26"/>
      <c r="L97" s="164" t="s">
        <v>107</v>
      </c>
      <c r="M97" s="21" t="str">
        <f>+'Worksheet 2'!$W$4</f>
        <v xml:space="preserve">         Yamhill OR-chapel  WO#J5135826-00333</v>
      </c>
      <c r="N97" s="22"/>
      <c r="O97" s="23"/>
      <c r="P97" s="22"/>
      <c r="Q97" s="24"/>
      <c r="R97" s="25">
        <f>+'Worksheet 2'!$AR$1</f>
        <v>33297</v>
      </c>
    </row>
    <row r="98" spans="1:18" ht="31.8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7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4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7"/>
      <c r="H100" s="447"/>
      <c r="I100" s="448"/>
      <c r="L100" s="166"/>
      <c r="M100" s="161" t="b">
        <f t="shared" ca="1" si="7"/>
        <v>0</v>
      </c>
      <c r="N100" s="42" t="s">
        <v>40</v>
      </c>
      <c r="O100" s="368"/>
      <c r="P100" s="449"/>
      <c r="Q100" s="451"/>
      <c r="R100" s="452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0</v>
      </c>
      <c r="L102" s="167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0</v>
      </c>
    </row>
    <row r="103" spans="1:18" ht="12.75" customHeight="1">
      <c r="C103" s="168" t="s">
        <v>108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4" t="s">
        <v>111</v>
      </c>
      <c r="D104" s="344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45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5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45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5"/>
    </row>
    <row r="106" spans="1:18" ht="15.75" customHeight="1">
      <c r="C106" s="164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46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6"/>
    </row>
    <row r="107" spans="1:18" ht="22.8">
      <c r="C107" s="346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2"/>
      <c r="Q107" s="372"/>
      <c r="R107" s="373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+'Worksheet 2'!$W$4</f>
        <v xml:space="preserve">         Yamhill OR-chapel  WO#J5135826-00333</v>
      </c>
      <c r="E109" s="22"/>
      <c r="F109" s="23"/>
      <c r="G109" s="22"/>
      <c r="H109" s="24"/>
      <c r="I109" s="25">
        <f>+'Worksheet 2'!$AR$1</f>
        <v>33297</v>
      </c>
      <c r="J109" s="26"/>
      <c r="L109" s="164" t="s">
        <v>107</v>
      </c>
      <c r="M109" s="21" t="str">
        <f>+'Worksheet 2'!$W$4</f>
        <v xml:space="preserve">         Yamhill OR-chapel  WO#J5135826-00333</v>
      </c>
      <c r="N109" s="22"/>
      <c r="O109" s="23"/>
      <c r="P109" s="22"/>
      <c r="Q109" s="24"/>
      <c r="R109" s="25">
        <f>+'Worksheet 2'!$AR$1</f>
        <v>33297</v>
      </c>
    </row>
    <row r="110" spans="1:18" ht="31.8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7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4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7"/>
      <c r="H112" s="447"/>
      <c r="I112" s="448"/>
      <c r="L112" s="166"/>
      <c r="M112" s="161" t="b">
        <f t="shared" ca="1" si="8"/>
        <v>0</v>
      </c>
      <c r="N112" s="42" t="s">
        <v>40</v>
      </c>
      <c r="O112" s="368"/>
      <c r="P112" s="449"/>
      <c r="Q112" s="451"/>
      <c r="R112" s="452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0</v>
      </c>
      <c r="L114" s="167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0</v>
      </c>
    </row>
    <row r="115" spans="1:18" ht="12.75" customHeight="1">
      <c r="C115" s="168" t="s">
        <v>108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4" t="s">
        <v>111</v>
      </c>
      <c r="D116" s="344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45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5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45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5"/>
    </row>
    <row r="118" spans="1:18" ht="15.75" customHeight="1">
      <c r="C118" s="164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46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6"/>
    </row>
    <row r="119" spans="1:18" ht="22.8">
      <c r="C119" s="346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+'Worksheet 2'!$W$4</f>
        <v xml:space="preserve">         Yamhill OR-chapel  WO#J5135826-00333</v>
      </c>
      <c r="E123" s="22"/>
      <c r="F123" s="23"/>
      <c r="G123" s="22"/>
      <c r="H123" s="24"/>
      <c r="I123" s="25">
        <f>+'Worksheet 2'!$AR$1</f>
        <v>33297</v>
      </c>
      <c r="J123" s="26"/>
      <c r="L123" s="164" t="s">
        <v>107</v>
      </c>
      <c r="M123" s="21" t="str">
        <f>+'Worksheet 2'!$W$4</f>
        <v xml:space="preserve">         Yamhill OR-chapel  WO#J5135826-00333</v>
      </c>
      <c r="N123" s="22"/>
      <c r="O123" s="23"/>
      <c r="P123" s="22"/>
      <c r="Q123" s="24"/>
      <c r="R123" s="25">
        <f>+'Worksheet 2'!$AR$1</f>
        <v>33297</v>
      </c>
    </row>
    <row r="124" spans="1:18" ht="31.8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7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4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7"/>
      <c r="H126" s="447"/>
      <c r="I126" s="448"/>
      <c r="L126" s="166"/>
      <c r="M126" s="161" t="b">
        <f t="shared" ca="1" si="9"/>
        <v>0</v>
      </c>
      <c r="N126" s="42" t="s">
        <v>40</v>
      </c>
      <c r="O126" s="368"/>
      <c r="P126" s="449"/>
      <c r="Q126" s="451"/>
      <c r="R126" s="452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0</v>
      </c>
      <c r="L128" s="167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0</v>
      </c>
    </row>
    <row r="129" spans="1:18" ht="12.75" customHeight="1">
      <c r="C129" s="168" t="s">
        <v>108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4" t="s">
        <v>111</v>
      </c>
      <c r="D130" s="344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45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5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45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5"/>
    </row>
    <row r="132" spans="1:18" ht="15.75" customHeight="1">
      <c r="C132" s="164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46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6"/>
    </row>
    <row r="133" spans="1:18" ht="22.8">
      <c r="C133" s="346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+'Worksheet 2'!$W$4</f>
        <v xml:space="preserve">         Yamhill OR-chapel  WO#J5135826-00333</v>
      </c>
      <c r="E137" s="22"/>
      <c r="F137" s="23"/>
      <c r="G137" s="22"/>
      <c r="H137" s="24"/>
      <c r="I137" s="25">
        <f>+'Worksheet 2'!$AR$1</f>
        <v>33297</v>
      </c>
      <c r="J137" s="26"/>
      <c r="L137" s="164" t="s">
        <v>107</v>
      </c>
      <c r="M137" s="21" t="str">
        <f>+'Worksheet 2'!$W$4</f>
        <v xml:space="preserve">         Yamhill OR-chapel  WO#J5135826-00333</v>
      </c>
      <c r="N137" s="22"/>
      <c r="O137" s="23"/>
      <c r="P137" s="22"/>
      <c r="Q137" s="24"/>
      <c r="R137" s="25">
        <f>+'Worksheet 2'!$AR$1</f>
        <v>33297</v>
      </c>
    </row>
    <row r="138" spans="1:18" ht="31.8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7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4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7"/>
      <c r="H140" s="447"/>
      <c r="I140" s="448"/>
      <c r="L140" s="166"/>
      <c r="M140" s="161" t="b">
        <f t="shared" ca="1" si="10"/>
        <v>0</v>
      </c>
      <c r="N140" s="42" t="s">
        <v>40</v>
      </c>
      <c r="O140" s="368"/>
      <c r="P140" s="449"/>
      <c r="Q140" s="451"/>
      <c r="R140" s="452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0</v>
      </c>
      <c r="L142" s="167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0</v>
      </c>
    </row>
    <row r="143" spans="1:18" ht="12.75" customHeight="1">
      <c r="C143" s="168" t="s">
        <v>108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4" t="s">
        <v>111</v>
      </c>
      <c r="D144" s="344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45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5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45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5"/>
    </row>
    <row r="146" spans="1:18" ht="15.75" customHeight="1">
      <c r="C146" s="164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46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6"/>
    </row>
    <row r="147" spans="1:18" ht="22.8">
      <c r="C147" s="346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+'Worksheet 2'!$W$4</f>
        <v xml:space="preserve">         Yamhill OR-chapel  WO#J5135826-00333</v>
      </c>
      <c r="E151" s="22"/>
      <c r="F151" s="23"/>
      <c r="G151" s="22"/>
      <c r="H151" s="24"/>
      <c r="I151" s="25">
        <f>+'Worksheet 2'!$AR$1</f>
        <v>33297</v>
      </c>
      <c r="J151" s="26"/>
      <c r="L151" s="164" t="s">
        <v>107</v>
      </c>
      <c r="M151" s="21" t="str">
        <f>+'Worksheet 2'!$W$4</f>
        <v xml:space="preserve">         Yamhill OR-chapel  WO#J5135826-00333</v>
      </c>
      <c r="N151" s="22"/>
      <c r="O151" s="23"/>
      <c r="P151" s="22"/>
      <c r="Q151" s="24"/>
      <c r="R151" s="25">
        <f>+'Worksheet 2'!$AR$1</f>
        <v>33297</v>
      </c>
    </row>
    <row r="152" spans="1:18" ht="31.8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7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4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7"/>
      <c r="H154" s="447"/>
      <c r="I154" s="448"/>
      <c r="L154" s="166"/>
      <c r="M154" s="161" t="b">
        <f t="shared" ca="1" si="11"/>
        <v>0</v>
      </c>
      <c r="N154" s="42" t="s">
        <v>40</v>
      </c>
      <c r="O154" s="368"/>
      <c r="P154" s="449"/>
      <c r="Q154" s="451"/>
      <c r="R154" s="452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0</v>
      </c>
      <c r="L156" s="167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0</v>
      </c>
    </row>
    <row r="157" spans="1:18" ht="12.75" customHeight="1">
      <c r="C157" s="168" t="s">
        <v>108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4" t="s">
        <v>111</v>
      </c>
      <c r="D158" s="344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45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5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45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5"/>
    </row>
    <row r="160" spans="1:18" ht="15.75" customHeight="1">
      <c r="C160" s="164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46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6"/>
    </row>
    <row r="161" spans="1:18" ht="22.8">
      <c r="C161" s="346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2"/>
      <c r="Q161" s="372"/>
      <c r="R161" s="373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+'Worksheet 2'!$W$4</f>
        <v xml:space="preserve">         Yamhill OR-chapel  WO#J5135826-00333</v>
      </c>
      <c r="E163" s="22"/>
      <c r="F163" s="23"/>
      <c r="G163" s="22"/>
      <c r="H163" s="24"/>
      <c r="I163" s="25">
        <f>+'Worksheet 2'!$AR$1</f>
        <v>33297</v>
      </c>
      <c r="J163" s="26"/>
      <c r="L163" s="164" t="s">
        <v>107</v>
      </c>
      <c r="M163" s="21" t="str">
        <f>+'Worksheet 2'!$W$4</f>
        <v xml:space="preserve">         Yamhill OR-chapel  WO#J5135826-00333</v>
      </c>
      <c r="N163" s="22"/>
      <c r="O163" s="23"/>
      <c r="P163" s="22"/>
      <c r="Q163" s="24"/>
      <c r="R163" s="25">
        <f>+'Worksheet 2'!$AR$1</f>
        <v>33297</v>
      </c>
    </row>
    <row r="164" spans="1:18" ht="31.8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7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4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7"/>
      <c r="H166" s="447"/>
      <c r="I166" s="448"/>
      <c r="L166" s="166"/>
      <c r="M166" s="161" t="b">
        <f t="shared" ca="1" si="12"/>
        <v>0</v>
      </c>
      <c r="N166" s="42" t="s">
        <v>40</v>
      </c>
      <c r="O166" s="368"/>
      <c r="P166" s="449"/>
      <c r="Q166" s="451"/>
      <c r="R166" s="452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0</v>
      </c>
      <c r="L168" s="167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0</v>
      </c>
    </row>
    <row r="169" spans="1:18" ht="12.75" customHeight="1">
      <c r="C169" s="168" t="s">
        <v>108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4" t="s">
        <v>111</v>
      </c>
      <c r="D170" s="344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45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5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45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5"/>
    </row>
    <row r="172" spans="1:18" ht="15.75" customHeight="1">
      <c r="C172" s="164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46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6"/>
    </row>
    <row r="173" spans="1:18" ht="22.8">
      <c r="C173" s="346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+'Worksheet 2'!$W$4</f>
        <v xml:space="preserve">         Yamhill OR-chapel  WO#J5135826-00333</v>
      </c>
      <c r="E177" s="22"/>
      <c r="F177" s="23"/>
      <c r="G177" s="22"/>
      <c r="H177" s="24"/>
      <c r="I177" s="25">
        <f>+'Worksheet 2'!$AR$1</f>
        <v>33297</v>
      </c>
      <c r="J177" s="26"/>
      <c r="L177" s="164" t="s">
        <v>107</v>
      </c>
      <c r="M177" s="21" t="str">
        <f>+'Worksheet 2'!$W$4</f>
        <v xml:space="preserve">         Yamhill OR-chapel  WO#J5135826-00333</v>
      </c>
      <c r="N177" s="22"/>
      <c r="O177" s="23"/>
      <c r="P177" s="22"/>
      <c r="Q177" s="24"/>
      <c r="R177" s="25">
        <f>+'Worksheet 2'!$AR$1</f>
        <v>33297</v>
      </c>
    </row>
    <row r="178" spans="1:18" ht="31.8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7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4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7"/>
      <c r="H180" s="447"/>
      <c r="I180" s="448"/>
      <c r="L180" s="166"/>
      <c r="M180" s="161" t="b">
        <f t="shared" ca="1" si="13"/>
        <v>0</v>
      </c>
      <c r="N180" s="42" t="s">
        <v>40</v>
      </c>
      <c r="O180" s="368"/>
      <c r="P180" s="449"/>
      <c r="Q180" s="451"/>
      <c r="R180" s="452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0</v>
      </c>
      <c r="L182" s="167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0</v>
      </c>
    </row>
    <row r="183" spans="1:18" ht="12.75" customHeight="1">
      <c r="C183" s="168" t="s">
        <v>108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4" t="s">
        <v>111</v>
      </c>
      <c r="D184" s="344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45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5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45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5"/>
    </row>
    <row r="186" spans="1:18" ht="15.75" customHeight="1">
      <c r="C186" s="164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46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6"/>
    </row>
    <row r="187" spans="1:18" ht="22.8">
      <c r="C187" s="346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+'Worksheet 2'!$W$4</f>
        <v xml:space="preserve">         Yamhill OR-chapel  WO#J5135826-00333</v>
      </c>
      <c r="E191" s="22"/>
      <c r="F191" s="23"/>
      <c r="G191" s="22"/>
      <c r="H191" s="24"/>
      <c r="I191" s="25">
        <f>+'Worksheet 2'!$AR$1</f>
        <v>33297</v>
      </c>
      <c r="J191" s="26"/>
      <c r="L191" s="164" t="s">
        <v>107</v>
      </c>
      <c r="M191" s="21" t="str">
        <f>+'Worksheet 2'!$W$4</f>
        <v xml:space="preserve">         Yamhill OR-chapel  WO#J5135826-00333</v>
      </c>
      <c r="N191" s="22"/>
      <c r="O191" s="23"/>
      <c r="P191" s="22"/>
      <c r="Q191" s="24"/>
      <c r="R191" s="25">
        <f>+'Worksheet 2'!$AR$1</f>
        <v>33297</v>
      </c>
    </row>
    <row r="192" spans="1:18" ht="31.8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7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4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7"/>
      <c r="H194" s="447"/>
      <c r="I194" s="448"/>
      <c r="L194" s="166"/>
      <c r="M194" s="161" t="b">
        <f t="shared" ca="1" si="14"/>
        <v>0</v>
      </c>
      <c r="N194" s="42" t="s">
        <v>40</v>
      </c>
      <c r="O194" s="368"/>
      <c r="P194" s="449"/>
      <c r="Q194" s="451"/>
      <c r="R194" s="452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0</v>
      </c>
      <c r="L196" s="167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0</v>
      </c>
    </row>
    <row r="197" spans="1:18" ht="12.75" customHeight="1">
      <c r="C197" s="168" t="s">
        <v>108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4" t="s">
        <v>111</v>
      </c>
      <c r="D198" s="344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45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5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45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5"/>
    </row>
    <row r="200" spans="1:18" ht="15.75" customHeight="1">
      <c r="C200" s="164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46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6"/>
    </row>
    <row r="201" spans="1:18" ht="22.8">
      <c r="C201" s="346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+'Worksheet 2'!$W$4</f>
        <v xml:space="preserve">         Yamhill OR-chapel  WO#J5135826-00333</v>
      </c>
      <c r="E205" s="22"/>
      <c r="F205" s="23"/>
      <c r="G205" s="22"/>
      <c r="H205" s="24"/>
      <c r="I205" s="25">
        <f>+'Worksheet 2'!$AR$1</f>
        <v>33297</v>
      </c>
      <c r="J205" s="26"/>
      <c r="L205" s="164" t="s">
        <v>107</v>
      </c>
      <c r="M205" s="21" t="str">
        <f>+'Worksheet 2'!$W$4</f>
        <v xml:space="preserve">         Yamhill OR-chapel  WO#J5135826-00333</v>
      </c>
      <c r="N205" s="22"/>
      <c r="O205" s="23"/>
      <c r="P205" s="22"/>
      <c r="Q205" s="24"/>
      <c r="R205" s="25">
        <f>+'Worksheet 2'!$AR$1</f>
        <v>33297</v>
      </c>
    </row>
    <row r="206" spans="1:18" ht="31.8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7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4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7"/>
      <c r="H208" s="447"/>
      <c r="I208" s="448"/>
      <c r="L208" s="166"/>
      <c r="M208" s="161" t="b">
        <f t="shared" ca="1" si="15"/>
        <v>0</v>
      </c>
      <c r="N208" s="42" t="s">
        <v>40</v>
      </c>
      <c r="O208" s="368"/>
      <c r="P208" s="449"/>
      <c r="Q208" s="451"/>
      <c r="R208" s="452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0</v>
      </c>
      <c r="L210" s="167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0</v>
      </c>
    </row>
    <row r="211" spans="1:18" ht="12.75" customHeight="1">
      <c r="C211" s="168" t="s">
        <v>108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4" t="s">
        <v>111</v>
      </c>
      <c r="D212" s="344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45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5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45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5"/>
    </row>
    <row r="214" spans="1:18" ht="15.75" customHeight="1">
      <c r="C214" s="164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46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6"/>
    </row>
    <row r="215" spans="1:18" ht="22.8">
      <c r="C215" s="346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2"/>
      <c r="Q215" s="372"/>
      <c r="R215" s="373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+'Worksheet 2'!$W$4</f>
        <v xml:space="preserve">         Yamhill OR-chapel  WO#J5135826-00333</v>
      </c>
      <c r="E217" s="22"/>
      <c r="F217" s="23"/>
      <c r="G217" s="22"/>
      <c r="H217" s="24"/>
      <c r="I217" s="25">
        <f>+'Worksheet 2'!$AR$1</f>
        <v>33297</v>
      </c>
      <c r="J217" s="26"/>
      <c r="L217" s="164" t="s">
        <v>107</v>
      </c>
      <c r="M217" s="21" t="str">
        <f>+'Worksheet 2'!$W$4</f>
        <v xml:space="preserve">         Yamhill OR-chapel  WO#J5135826-00333</v>
      </c>
      <c r="N217" s="22"/>
      <c r="O217" s="23"/>
      <c r="P217" s="22"/>
      <c r="Q217" s="24"/>
      <c r="R217" s="25">
        <f>+'Worksheet 2'!$AR$1</f>
        <v>33297</v>
      </c>
    </row>
    <row r="218" spans="1:18" ht="31.8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7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4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7"/>
      <c r="H220" s="447"/>
      <c r="I220" s="448"/>
      <c r="L220" s="166"/>
      <c r="M220" s="161" t="b">
        <f t="shared" ca="1" si="16"/>
        <v>0</v>
      </c>
      <c r="N220" s="42" t="s">
        <v>40</v>
      </c>
      <c r="O220" s="368"/>
      <c r="P220" s="449"/>
      <c r="Q220" s="451"/>
      <c r="R220" s="452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0</v>
      </c>
      <c r="L222" s="167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0</v>
      </c>
    </row>
    <row r="223" spans="1:18" ht="12.75" customHeight="1">
      <c r="C223" s="168" t="s">
        <v>108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4" t="s">
        <v>111</v>
      </c>
      <c r="D224" s="344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45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5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45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5"/>
    </row>
    <row r="226" spans="1:18" ht="15.75" customHeight="1">
      <c r="C226" s="164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46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6"/>
    </row>
    <row r="227" spans="1:18" ht="22.8">
      <c r="C227" s="346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+'Worksheet 2'!$W$4</f>
        <v xml:space="preserve">         Yamhill OR-chapel  WO#J5135826-00333</v>
      </c>
      <c r="E231" s="22"/>
      <c r="F231" s="23"/>
      <c r="G231" s="22"/>
      <c r="H231" s="24"/>
      <c r="I231" s="25">
        <f>+'Worksheet 2'!$AR$1</f>
        <v>33297</v>
      </c>
      <c r="J231" s="26"/>
      <c r="L231" s="164" t="s">
        <v>107</v>
      </c>
      <c r="M231" s="21" t="str">
        <f>+'Worksheet 2'!$W$4</f>
        <v xml:space="preserve">         Yamhill OR-chapel  WO#J5135826-00333</v>
      </c>
      <c r="N231" s="22"/>
      <c r="O231" s="23"/>
      <c r="P231" s="22"/>
      <c r="Q231" s="24"/>
      <c r="R231" s="25">
        <f>+'Worksheet 2'!$AR$1</f>
        <v>33297</v>
      </c>
    </row>
    <row r="232" spans="1:18" ht="31.8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7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4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7"/>
      <c r="H234" s="447"/>
      <c r="I234" s="448"/>
      <c r="L234" s="166"/>
      <c r="M234" s="161" t="b">
        <f t="shared" ca="1" si="17"/>
        <v>0</v>
      </c>
      <c r="N234" s="42" t="s">
        <v>40</v>
      </c>
      <c r="O234" s="368"/>
      <c r="P234" s="449"/>
      <c r="Q234" s="451"/>
      <c r="R234" s="452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0</v>
      </c>
      <c r="L236" s="167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0</v>
      </c>
    </row>
    <row r="237" spans="1:18" ht="12.75" customHeight="1">
      <c r="C237" s="168" t="s">
        <v>108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4" t="s">
        <v>111</v>
      </c>
      <c r="D238" s="344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45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5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45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5"/>
    </row>
    <row r="240" spans="1:18" ht="15.75" customHeight="1">
      <c r="C240" s="164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46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6"/>
    </row>
    <row r="241" spans="1:18" ht="22.8">
      <c r="C241" s="346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+'Worksheet 2'!$W$4</f>
        <v xml:space="preserve">         Yamhill OR-chapel  WO#J5135826-00333</v>
      </c>
      <c r="E245" s="22"/>
      <c r="F245" s="23"/>
      <c r="G245" s="22"/>
      <c r="H245" s="24"/>
      <c r="I245" s="25">
        <f>+'Worksheet 2'!$AR$1</f>
        <v>33297</v>
      </c>
      <c r="J245" s="26"/>
      <c r="L245" s="164" t="s">
        <v>107</v>
      </c>
      <c r="M245" s="21" t="str">
        <f>+'Worksheet 2'!$W$4</f>
        <v xml:space="preserve">         Yamhill OR-chapel  WO#J5135826-00333</v>
      </c>
      <c r="N245" s="22"/>
      <c r="O245" s="23"/>
      <c r="P245" s="22"/>
      <c r="Q245" s="24"/>
      <c r="R245" s="25">
        <f>+'Worksheet 2'!$AR$1</f>
        <v>33297</v>
      </c>
    </row>
    <row r="246" spans="1:18" ht="31.8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7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4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7"/>
      <c r="H248" s="447"/>
      <c r="I248" s="448"/>
      <c r="L248" s="166"/>
      <c r="M248" s="161" t="b">
        <f t="shared" ca="1" si="18"/>
        <v>0</v>
      </c>
      <c r="N248" s="42" t="s">
        <v>40</v>
      </c>
      <c r="O248" s="368"/>
      <c r="P248" s="449"/>
      <c r="Q248" s="451"/>
      <c r="R248" s="452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0</v>
      </c>
      <c r="L250" s="167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0</v>
      </c>
    </row>
    <row r="251" spans="1:18" ht="12.75" customHeight="1">
      <c r="C251" s="168" t="s">
        <v>108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4" t="s">
        <v>111</v>
      </c>
      <c r="D252" s="344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45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5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45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5"/>
    </row>
    <row r="254" spans="1:18" ht="15.75" customHeight="1">
      <c r="C254" s="164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46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6"/>
    </row>
    <row r="255" spans="1:18" ht="22.8">
      <c r="C255" s="346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+'Worksheet 2'!$W$4</f>
        <v xml:space="preserve">         Yamhill OR-chapel  WO#J5135826-00333</v>
      </c>
      <c r="E259" s="22"/>
      <c r="F259" s="23"/>
      <c r="G259" s="22"/>
      <c r="H259" s="24"/>
      <c r="I259" s="25">
        <f>+'Worksheet 2'!$AR$1</f>
        <v>33297</v>
      </c>
      <c r="J259" s="26"/>
      <c r="L259" s="164" t="s">
        <v>107</v>
      </c>
      <c r="M259" s="21" t="str">
        <f>+'Worksheet 2'!$W$4</f>
        <v xml:space="preserve">         Yamhill OR-chapel  WO#J5135826-00333</v>
      </c>
      <c r="N259" s="22"/>
      <c r="O259" s="23"/>
      <c r="P259" s="22"/>
      <c r="Q259" s="24"/>
      <c r="R259" s="25">
        <f>+'Worksheet 2'!$AR$1</f>
        <v>33297</v>
      </c>
    </row>
    <row r="260" spans="1:18" ht="31.8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7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4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7"/>
      <c r="H262" s="447"/>
      <c r="I262" s="448"/>
      <c r="L262" s="166"/>
      <c r="M262" s="161" t="b">
        <f t="shared" ca="1" si="19"/>
        <v>0</v>
      </c>
      <c r="N262" s="42" t="s">
        <v>40</v>
      </c>
      <c r="O262" s="368"/>
      <c r="P262" s="449"/>
      <c r="Q262" s="451"/>
      <c r="R262" s="452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0</v>
      </c>
      <c r="L264" s="167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0</v>
      </c>
    </row>
    <row r="265" spans="1:18" ht="12.75" customHeight="1">
      <c r="C265" s="168" t="s">
        <v>108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4" t="s">
        <v>111</v>
      </c>
      <c r="D266" s="344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45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5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45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5"/>
    </row>
    <row r="268" spans="1:18" ht="15.75" customHeight="1">
      <c r="C268" s="164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46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6"/>
    </row>
    <row r="269" spans="1:18" ht="22.8">
      <c r="C269" s="346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2"/>
      <c r="Q269" s="372"/>
      <c r="R269" s="373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2024-12-26T14:49:13Z</cp:lastPrinted>
  <dcterms:created xsi:type="dcterms:W3CDTF">1997-04-14T18:07:46Z</dcterms:created>
  <dcterms:modified xsi:type="dcterms:W3CDTF">2024-12-26T14:51:29Z</dcterms:modified>
</cp:coreProperties>
</file>