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drawings/drawing3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drawings/drawing4.xml" ContentType="application/vnd.openxmlformats-officedocument.drawing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5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6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drawings/drawing7.xml" ContentType="application/vnd.openxmlformats-officedocument.drawing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drawings/drawing8.xml" ContentType="application/vnd.openxmlformats-officedocument.drawing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drawings/drawing9.xml" ContentType="application/vnd.openxmlformats-officedocument.drawing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Z:\Server\Quotations\Church Quotes - ALL CHURCH JOBS\JLL\Texas\"/>
    </mc:Choice>
  </mc:AlternateContent>
  <xr:revisionPtr revIDLastSave="0" documentId="13_ncr:11_{BC32D888-28A7-450E-80FF-062BE0A4BD9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Quote" sheetId="7" r:id="rId1"/>
    <sheet name="Worksheet" sheetId="1" r:id="rId2"/>
    <sheet name="TICKETS (1)" sheetId="9" r:id="rId3"/>
    <sheet name="Workroom Copy" sheetId="15" r:id="rId4"/>
    <sheet name="Installation Copy" sheetId="17" r:id="rId5"/>
    <sheet name="Shipping Copy" sheetId="18" r:id="rId6"/>
    <sheet name="Data Sheet" sheetId="13" state="hidden" r:id="rId7"/>
    <sheet name="Worksheet 2" sheetId="29" r:id="rId8"/>
    <sheet name="TICKETS (2)" sheetId="30" r:id="rId9"/>
    <sheet name="Workroom Copy (2)" sheetId="31" r:id="rId10"/>
    <sheet name="Installation Copy (2)" sheetId="32" r:id="rId11"/>
    <sheet name="Shipping Copy (2)" sheetId="33" r:id="rId12"/>
    <sheet name="Sunburst calculator" sheetId="3" r:id="rId13"/>
  </sheets>
  <externalReferences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bill_name">[1]Worksheet!$C$5</definedName>
    <definedName name="bracket">[1]Worksheet!$AB$5</definedName>
    <definedName name="channel">[1]Worksheet!$AB$7</definedName>
    <definedName name="Cyc_fab" localSheetId="4">'[2]Stage worksheet'!$T$7</definedName>
    <definedName name="Cyc_fab" localSheetId="10">'[2]Stage worksheet'!$T$7</definedName>
    <definedName name="Cyc_fab" localSheetId="5">'[2]Stage worksheet'!$T$7</definedName>
    <definedName name="Cyc_fab" localSheetId="11">'[2]Stage worksheet'!$T$7</definedName>
    <definedName name="Cyc_fab" localSheetId="3">'[2]Stage worksheet'!$T$7</definedName>
    <definedName name="Cyc_fab" localSheetId="9">'[2]Stage worksheet'!$T$7</definedName>
    <definedName name="Cyc_fab">'[2]Stage worksheet'!$T$7</definedName>
    <definedName name="facia">[1]Worksheet!$AB$6</definedName>
    <definedName name="factor">[1]Worksheet!$AB$4</definedName>
    <definedName name="FactorUpdate">[3]Worksheet!$Y$4</definedName>
    <definedName name="install" localSheetId="4">'[2]Stage worksheet'!$T$4</definedName>
    <definedName name="install" localSheetId="10">'[2]Stage worksheet'!$T$4</definedName>
    <definedName name="install" localSheetId="5">'[2]Stage worksheet'!$T$4</definedName>
    <definedName name="install" localSheetId="11">'[2]Stage worksheet'!$T$4</definedName>
    <definedName name="install" localSheetId="3">'[2]Stage worksheet'!$T$4</definedName>
    <definedName name="install" localSheetId="9">'[2]Stage worksheet'!$T$4</definedName>
    <definedName name="install">'[2]Stage worksheet'!$T$4</definedName>
    <definedName name="install_price" localSheetId="6">#REF!</definedName>
    <definedName name="install_price" localSheetId="4">'Installation Copy'!#REF!</definedName>
    <definedName name="install_price" localSheetId="10">'Installation Copy (2)'!#REF!</definedName>
    <definedName name="install_price" localSheetId="0">'[4]master page'!$AH$8</definedName>
    <definedName name="install_price" localSheetId="5">'Shipping Copy'!#REF!</definedName>
    <definedName name="install_price" localSheetId="11">'Shipping Copy (2)'!#REF!</definedName>
    <definedName name="install_price" localSheetId="3">'Workroom Copy'!#REF!</definedName>
    <definedName name="install_price" localSheetId="9">'Workroom Copy (2)'!#REF!</definedName>
    <definedName name="install_price">Worksheet!$AM$8</definedName>
    <definedName name="jobname" localSheetId="6">[1]Worksheet!$J$5</definedName>
    <definedName name="jobname">[5]Worksheet!$J$5</definedName>
    <definedName name="jobnumber">[1]Worksheet!$AB$2</definedName>
    <definedName name="Lining_Sew_Price" localSheetId="4">'Installation Copy'!#REF!</definedName>
    <definedName name="Lining_Sew_Price" localSheetId="10">'Installation Copy (2)'!#REF!</definedName>
    <definedName name="Lining_Sew_Price" localSheetId="5">'Shipping Copy'!#REF!</definedName>
    <definedName name="Lining_Sew_Price" localSheetId="11">'Shipping Copy (2)'!#REF!</definedName>
    <definedName name="Lining_Sew_Price" localSheetId="3">'Workroom Copy'!#REF!</definedName>
    <definedName name="Lining_Sew_Price" localSheetId="9">'Workroom Copy (2)'!#REF!</definedName>
    <definedName name="Lining_Sew_Price">Worksheet!$AL$7</definedName>
    <definedName name="_xlnm.Print_Area" localSheetId="4">'Installation Copy'!$A$1:$Z$39</definedName>
    <definedName name="_xlnm.Print_Area" localSheetId="10">'Installation Copy (2)'!$A$1:$Z$39</definedName>
    <definedName name="_xlnm.Print_Area" localSheetId="0">Quote!$A$1:$J$61</definedName>
    <definedName name="_xlnm.Print_Area" localSheetId="5">'Shipping Copy'!$A$1:$Z$39</definedName>
    <definedName name="_xlnm.Print_Area" localSheetId="11">'Shipping Copy (2)'!$A$1:$Z$39</definedName>
    <definedName name="_xlnm.Print_Area" localSheetId="12">'Sunburst calculator'!$A$1:$H$28</definedName>
    <definedName name="_xlnm.Print_Area" localSheetId="2">'TICKETS (1)'!$C$1:$R$269</definedName>
    <definedName name="_xlnm.Print_Area" localSheetId="8">'TICKETS (2)'!$C$1:$R$269</definedName>
    <definedName name="_xlnm.Print_Area" localSheetId="3">'Workroom Copy'!$A$1:$Z$39</definedName>
    <definedName name="_xlnm.Print_Area" localSheetId="9">'Workroom Copy (2)'!$A$1:$Z$39</definedName>
    <definedName name="_xlnm.Print_Area" localSheetId="1">Worksheet!$A$1:$AU$39</definedName>
    <definedName name="_xlnm.Print_Area" localSheetId="7">'Worksheet 2'!$A$1:$AU$39</definedName>
    <definedName name="Proc_Fab" localSheetId="4">'[2]Stage worksheet'!$T$6</definedName>
    <definedName name="Proc_Fab" localSheetId="10">'[2]Stage worksheet'!$T$6</definedName>
    <definedName name="Proc_Fab" localSheetId="5">'[2]Stage worksheet'!$T$6</definedName>
    <definedName name="Proc_Fab" localSheetId="11">'[2]Stage worksheet'!$T$6</definedName>
    <definedName name="Proc_Fab" localSheetId="3">'[2]Stage worksheet'!$T$6</definedName>
    <definedName name="Proc_Fab" localSheetId="9">'[2]Stage worksheet'!$T$6</definedName>
    <definedName name="Proc_Fab">'[2]Stage worksheet'!$T$6</definedName>
    <definedName name="sew" localSheetId="4">'[2]Stage worksheet'!$T$5</definedName>
    <definedName name="sew" localSheetId="10">'[2]Stage worksheet'!$T$5</definedName>
    <definedName name="sew" localSheetId="5">'[2]Stage worksheet'!$T$5</definedName>
    <definedName name="sew" localSheetId="11">'[2]Stage worksheet'!$T$5</definedName>
    <definedName name="sew" localSheetId="3">'[2]Stage worksheet'!$T$5</definedName>
    <definedName name="sew" localSheetId="9">'[2]Stage worksheet'!$T$5</definedName>
    <definedName name="sew">'[2]Stage worksheet'!$T$5</definedName>
    <definedName name="sew_price" localSheetId="6">#REF!</definedName>
    <definedName name="sew_price" localSheetId="4">'Installation Copy'!#REF!</definedName>
    <definedName name="sew_price" localSheetId="10">'Installation Copy (2)'!#REF!</definedName>
    <definedName name="sew_price" localSheetId="0">'[4]master page'!$AG$8</definedName>
    <definedName name="sew_price" localSheetId="5">'Shipping Copy'!#REF!</definedName>
    <definedName name="sew_price" localSheetId="11">'Shipping Copy (2)'!#REF!</definedName>
    <definedName name="sew_price" localSheetId="3">'Workroom Copy'!#REF!</definedName>
    <definedName name="sew_price" localSheetId="9">'Workroom Copy (2)'!#REF!</definedName>
    <definedName name="sew_price">Worksheet!$AL$8</definedName>
    <definedName name="squeeze" localSheetId="6">#REF!</definedName>
    <definedName name="squeeze" localSheetId="4">'Installation Copy'!#REF!</definedName>
    <definedName name="squeeze" localSheetId="10">'Installation Copy (2)'!#REF!</definedName>
    <definedName name="squeeze" localSheetId="0">'[4]master page'!$AH$34</definedName>
    <definedName name="squeeze" localSheetId="5">'Shipping Copy'!#REF!</definedName>
    <definedName name="squeeze" localSheetId="11">'Shipping Copy (2)'!#REF!</definedName>
    <definedName name="squeeze" localSheetId="3">'Workroom Copy'!#REF!</definedName>
    <definedName name="squeeze" localSheetId="9">'Workroom Copy (2)'!#REF!</definedName>
    <definedName name="squeeze">Worksheet!$AM$33</definedName>
    <definedName name="Test">'[1]Worksheet (2)'!$AB$4</definedName>
    <definedName name="Z_243F4461_449C_11D4_AFC8_30694FC10000_.wvu.PrintArea" localSheetId="4" hidden="1">'Installation Copy'!$A$1:$Z$39</definedName>
    <definedName name="Z_243F4461_449C_11D4_AFC8_30694FC10000_.wvu.PrintArea" localSheetId="10" hidden="1">'Installation Copy (2)'!$A$1:$Z$39</definedName>
    <definedName name="Z_243F4461_449C_11D4_AFC8_30694FC10000_.wvu.PrintArea" localSheetId="5" hidden="1">'Shipping Copy'!$A$1:$Z$39</definedName>
    <definedName name="Z_243F4461_449C_11D4_AFC8_30694FC10000_.wvu.PrintArea" localSheetId="11" hidden="1">'Shipping Copy (2)'!$A$1:$Z$39</definedName>
    <definedName name="Z_243F4461_449C_11D4_AFC8_30694FC10000_.wvu.PrintArea" localSheetId="3" hidden="1">'Workroom Copy'!$A$1:$Z$39</definedName>
    <definedName name="Z_243F4461_449C_11D4_AFC8_30694FC10000_.wvu.PrintArea" localSheetId="9" hidden="1">'Workroom Copy (2)'!$A$1:$Z$39</definedName>
    <definedName name="Z_243F4461_449C_11D4_AFC8_30694FC10000_.wvu.PrintArea" localSheetId="1" hidden="1">Worksheet!$A$1:$AR$39</definedName>
    <definedName name="Z_243F4461_449C_11D4_AFC8_30694FC10000_.wvu.PrintArea" localSheetId="7" hidden="1">'Worksheet 2'!$A$1:$AR$39</definedName>
  </definedNames>
  <calcPr calcId="191029"/>
  <customWorkbookViews>
    <customWorkbookView name="Dave &amp; Maralyn Colton - Personal View" guid="{243F4461-449C-11D4-AFC8-30694FC10000}" mergeInterval="0" personalView="1" maximized="1" windowWidth="796" windowHeight="45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R35" i="1" l="1"/>
  <c r="E44" i="1" l="1"/>
  <c r="D44" i="1"/>
  <c r="E43" i="1"/>
  <c r="D43" i="1"/>
  <c r="D46" i="1" l="1"/>
  <c r="R269" i="30" l="1"/>
  <c r="R161" i="30"/>
  <c r="R53" i="30"/>
  <c r="R215" i="9"/>
  <c r="R107" i="9"/>
  <c r="I269" i="30"/>
  <c r="I161" i="30"/>
  <c r="I53" i="30"/>
  <c r="I215" i="9"/>
  <c r="I107" i="9"/>
  <c r="R255" i="30"/>
  <c r="R147" i="30"/>
  <c r="R39" i="30"/>
  <c r="R201" i="9"/>
  <c r="R93" i="9"/>
  <c r="I255" i="30"/>
  <c r="I147" i="30"/>
  <c r="I39" i="30"/>
  <c r="I201" i="9"/>
  <c r="I93" i="9"/>
  <c r="R241" i="30"/>
  <c r="R133" i="30"/>
  <c r="R25" i="30"/>
  <c r="R187" i="9"/>
  <c r="R79" i="9"/>
  <c r="I241" i="30"/>
  <c r="I133" i="30"/>
  <c r="I25" i="30"/>
  <c r="I187" i="9"/>
  <c r="I79" i="9"/>
  <c r="R227" i="30"/>
  <c r="R119" i="30"/>
  <c r="R11" i="30"/>
  <c r="R173" i="9"/>
  <c r="R65" i="9"/>
  <c r="I227" i="30"/>
  <c r="I119" i="30"/>
  <c r="I11" i="30"/>
  <c r="I173" i="9"/>
  <c r="I65" i="9"/>
  <c r="R215" i="30"/>
  <c r="R107" i="30"/>
  <c r="R269" i="9"/>
  <c r="R161" i="9"/>
  <c r="R53" i="9"/>
  <c r="I215" i="30"/>
  <c r="I107" i="30"/>
  <c r="I269" i="9"/>
  <c r="I161" i="9"/>
  <c r="I53" i="9"/>
  <c r="R201" i="30"/>
  <c r="R93" i="30"/>
  <c r="R255" i="9"/>
  <c r="R147" i="9"/>
  <c r="R39" i="9"/>
  <c r="I201" i="30"/>
  <c r="I93" i="30"/>
  <c r="I255" i="9"/>
  <c r="I147" i="9"/>
  <c r="I39" i="9"/>
  <c r="R187" i="30"/>
  <c r="R241" i="9"/>
  <c r="R133" i="9"/>
  <c r="R25" i="9"/>
  <c r="I187" i="30"/>
  <c r="I79" i="30"/>
  <c r="I241" i="9"/>
  <c r="I133" i="9"/>
  <c r="I25" i="9"/>
  <c r="R173" i="30"/>
  <c r="R65" i="30"/>
  <c r="R227" i="9"/>
  <c r="R119" i="9"/>
  <c r="R11" i="9"/>
  <c r="I65" i="30"/>
  <c r="I227" i="9"/>
  <c r="I11" i="9"/>
  <c r="R79" i="30"/>
  <c r="I173" i="30"/>
  <c r="I119" i="9"/>
  <c r="R34" i="31" l="1"/>
  <c r="R34" i="15"/>
  <c r="AZ12" i="1"/>
  <c r="AZ13" i="1"/>
  <c r="AZ14" i="1"/>
  <c r="AZ15" i="1"/>
  <c r="AZ16" i="1"/>
  <c r="AZ17" i="1"/>
  <c r="AZ18" i="1"/>
  <c r="AZ19" i="1"/>
  <c r="AZ20" i="1"/>
  <c r="AZ21" i="1"/>
  <c r="AZ22" i="1"/>
  <c r="AZ23" i="1"/>
  <c r="AZ24" i="1"/>
  <c r="AZ25" i="1"/>
  <c r="AZ26" i="1"/>
  <c r="AZ27" i="1"/>
  <c r="AZ28" i="1"/>
  <c r="AZ29" i="1"/>
  <c r="AZ30" i="1"/>
  <c r="AZ11" i="1"/>
  <c r="AZ12" i="29" l="1"/>
  <c r="AZ13" i="29"/>
  <c r="AZ14" i="29"/>
  <c r="AZ15" i="29"/>
  <c r="AZ16" i="29"/>
  <c r="AZ17" i="29"/>
  <c r="AZ18" i="29"/>
  <c r="AZ19" i="29"/>
  <c r="AZ20" i="29"/>
  <c r="AZ21" i="29"/>
  <c r="AZ22" i="29"/>
  <c r="AZ23" i="29"/>
  <c r="AZ24" i="29"/>
  <c r="AZ25" i="29"/>
  <c r="AZ26" i="29"/>
  <c r="AZ27" i="29"/>
  <c r="AZ28" i="29"/>
  <c r="AZ29" i="29"/>
  <c r="AZ30" i="29"/>
  <c r="AZ11" i="29"/>
  <c r="X8" i="17" l="1"/>
  <c r="W8" i="17"/>
  <c r="U11" i="29" l="1"/>
  <c r="BA30" i="29"/>
  <c r="BA29" i="29"/>
  <c r="BA28" i="29"/>
  <c r="BA27" i="29"/>
  <c r="BA26" i="29"/>
  <c r="BA25" i="29"/>
  <c r="BA24" i="29"/>
  <c r="BA23" i="29"/>
  <c r="BA22" i="29"/>
  <c r="BA21" i="29"/>
  <c r="BB26" i="29" l="1"/>
  <c r="Q26" i="29"/>
  <c r="BB21" i="29"/>
  <c r="Q21" i="29"/>
  <c r="BB23" i="29"/>
  <c r="Q23" i="29"/>
  <c r="BB27" i="29"/>
  <c r="Q27" i="29"/>
  <c r="BB30" i="29"/>
  <c r="Q30" i="29"/>
  <c r="BB22" i="29"/>
  <c r="Q22" i="29"/>
  <c r="BB24" i="29"/>
  <c r="Q24" i="29"/>
  <c r="BB25" i="29"/>
  <c r="Q25" i="29"/>
  <c r="BB28" i="29"/>
  <c r="Q28" i="29"/>
  <c r="BB29" i="29"/>
  <c r="Q29" i="29"/>
  <c r="M11" i="1"/>
  <c r="Z4" i="18"/>
  <c r="Z4" i="32"/>
  <c r="Z4" i="33"/>
  <c r="Z4" i="31"/>
  <c r="Z4" i="15"/>
  <c r="AQ11" i="1" l="1"/>
  <c r="AQ12" i="1"/>
  <c r="AQ13" i="1"/>
  <c r="AQ14" i="1"/>
  <c r="AQ15" i="1"/>
  <c r="AQ16" i="1"/>
  <c r="AQ17" i="1"/>
  <c r="AQ18" i="1"/>
  <c r="X37" i="29"/>
  <c r="X37" i="32" s="1"/>
  <c r="AM8" i="29"/>
  <c r="AL8" i="29"/>
  <c r="W7" i="29"/>
  <c r="W6" i="29"/>
  <c r="W6" i="32" s="1"/>
  <c r="W5" i="29"/>
  <c r="W5" i="32" s="1"/>
  <c r="W4" i="29"/>
  <c r="N6" i="33" s="1"/>
  <c r="R4" i="29"/>
  <c r="R4" i="31" s="1"/>
  <c r="J7" i="29"/>
  <c r="J6" i="29"/>
  <c r="X7" i="32" s="1"/>
  <c r="D7" i="29"/>
  <c r="D6" i="29"/>
  <c r="W7" i="32" s="1"/>
  <c r="D5" i="29"/>
  <c r="D4" i="29"/>
  <c r="D3" i="29"/>
  <c r="AR1" i="29"/>
  <c r="Y1" i="33" s="1"/>
  <c r="U11" i="1"/>
  <c r="AN11" i="1" s="1"/>
  <c r="F35" i="33"/>
  <c r="F34" i="33"/>
  <c r="F33" i="33"/>
  <c r="Y30" i="33"/>
  <c r="X30" i="33"/>
  <c r="W30" i="33"/>
  <c r="V30" i="33"/>
  <c r="I30" i="33"/>
  <c r="O30" i="33" s="1"/>
  <c r="H30" i="33"/>
  <c r="G30" i="33"/>
  <c r="K30" i="33" s="1"/>
  <c r="F30" i="33"/>
  <c r="J30" i="33" s="1"/>
  <c r="E30" i="33"/>
  <c r="D30" i="33"/>
  <c r="C30" i="33"/>
  <c r="B30" i="33"/>
  <c r="A30" i="33"/>
  <c r="Y29" i="33"/>
  <c r="X29" i="33"/>
  <c r="W29" i="33"/>
  <c r="V29" i="33"/>
  <c r="I29" i="33"/>
  <c r="O29" i="33" s="1"/>
  <c r="H29" i="33"/>
  <c r="G29" i="33"/>
  <c r="K29" i="33" s="1"/>
  <c r="F29" i="33"/>
  <c r="J29" i="33" s="1"/>
  <c r="E29" i="33"/>
  <c r="D29" i="33"/>
  <c r="C29" i="33"/>
  <c r="B29" i="33"/>
  <c r="A29" i="33"/>
  <c r="Y28" i="33"/>
  <c r="X28" i="33"/>
  <c r="W28" i="33"/>
  <c r="V28" i="33"/>
  <c r="I28" i="33"/>
  <c r="O28" i="33" s="1"/>
  <c r="H28" i="33"/>
  <c r="G28" i="33"/>
  <c r="K28" i="33" s="1"/>
  <c r="F28" i="33"/>
  <c r="J28" i="33" s="1"/>
  <c r="E28" i="33"/>
  <c r="D28" i="33"/>
  <c r="C28" i="33"/>
  <c r="B28" i="33"/>
  <c r="A28" i="33"/>
  <c r="Y27" i="33"/>
  <c r="X27" i="33"/>
  <c r="W27" i="33"/>
  <c r="V27" i="33"/>
  <c r="I27" i="33"/>
  <c r="O27" i="33" s="1"/>
  <c r="H27" i="33"/>
  <c r="G27" i="33"/>
  <c r="K27" i="33" s="1"/>
  <c r="F27" i="33"/>
  <c r="J27" i="33" s="1"/>
  <c r="E27" i="33"/>
  <c r="D27" i="33"/>
  <c r="C27" i="33"/>
  <c r="B27" i="33"/>
  <c r="A27" i="33"/>
  <c r="Y26" i="33"/>
  <c r="X26" i="33"/>
  <c r="W26" i="33"/>
  <c r="V26" i="33"/>
  <c r="I26" i="33"/>
  <c r="O26" i="33" s="1"/>
  <c r="H26" i="33"/>
  <c r="G26" i="33"/>
  <c r="K26" i="33" s="1"/>
  <c r="F26" i="33"/>
  <c r="J26" i="33" s="1"/>
  <c r="E26" i="33"/>
  <c r="D26" i="33"/>
  <c r="C26" i="33"/>
  <c r="B26" i="33"/>
  <c r="A26" i="33"/>
  <c r="Y25" i="33"/>
  <c r="X25" i="33"/>
  <c r="W25" i="33"/>
  <c r="V25" i="33"/>
  <c r="I25" i="33"/>
  <c r="O25" i="33" s="1"/>
  <c r="H25" i="33"/>
  <c r="G25" i="33"/>
  <c r="K25" i="33" s="1"/>
  <c r="F25" i="33"/>
  <c r="J25" i="33" s="1"/>
  <c r="E25" i="33"/>
  <c r="D25" i="33"/>
  <c r="C25" i="33"/>
  <c r="B25" i="33"/>
  <c r="A25" i="33"/>
  <c r="Y24" i="33"/>
  <c r="X24" i="33"/>
  <c r="W24" i="33"/>
  <c r="V24" i="33"/>
  <c r="I24" i="33"/>
  <c r="O24" i="33" s="1"/>
  <c r="H24" i="33"/>
  <c r="G24" i="33"/>
  <c r="K24" i="33" s="1"/>
  <c r="F24" i="33"/>
  <c r="J24" i="33" s="1"/>
  <c r="E24" i="33"/>
  <c r="D24" i="33"/>
  <c r="C24" i="33"/>
  <c r="B24" i="33"/>
  <c r="A24" i="33"/>
  <c r="Y23" i="33"/>
  <c r="X23" i="33"/>
  <c r="W23" i="33"/>
  <c r="V23" i="33"/>
  <c r="I23" i="33"/>
  <c r="O23" i="33" s="1"/>
  <c r="H23" i="33"/>
  <c r="G23" i="33"/>
  <c r="K23" i="33" s="1"/>
  <c r="F23" i="33"/>
  <c r="J23" i="33" s="1"/>
  <c r="E23" i="33"/>
  <c r="D23" i="33"/>
  <c r="C23" i="33"/>
  <c r="B23" i="33"/>
  <c r="A23" i="33"/>
  <c r="Y22" i="33"/>
  <c r="X22" i="33"/>
  <c r="W22" i="33"/>
  <c r="V22" i="33"/>
  <c r="I22" i="33"/>
  <c r="O22" i="33" s="1"/>
  <c r="H22" i="33"/>
  <c r="G22" i="33"/>
  <c r="K22" i="33" s="1"/>
  <c r="F22" i="33"/>
  <c r="J22" i="33" s="1"/>
  <c r="E22" i="33"/>
  <c r="D22" i="33"/>
  <c r="C22" i="33"/>
  <c r="B22" i="33"/>
  <c r="A22" i="33"/>
  <c r="Y21" i="33"/>
  <c r="X21" i="33"/>
  <c r="W21" i="33"/>
  <c r="V21" i="33"/>
  <c r="I21" i="33"/>
  <c r="O21" i="33" s="1"/>
  <c r="H21" i="33"/>
  <c r="G21" i="33"/>
  <c r="K21" i="33" s="1"/>
  <c r="F21" i="33"/>
  <c r="E21" i="33"/>
  <c r="D21" i="33"/>
  <c r="C21" i="33"/>
  <c r="B21" i="33"/>
  <c r="A21" i="33"/>
  <c r="Y20" i="33"/>
  <c r="X20" i="33"/>
  <c r="W20" i="33"/>
  <c r="V20" i="33"/>
  <c r="I20" i="33"/>
  <c r="O20" i="33" s="1"/>
  <c r="H20" i="33"/>
  <c r="G20" i="33"/>
  <c r="K20" i="33" s="1"/>
  <c r="F20" i="33"/>
  <c r="J20" i="33" s="1"/>
  <c r="E20" i="33"/>
  <c r="D20" i="33"/>
  <c r="C20" i="33"/>
  <c r="B20" i="33"/>
  <c r="A20" i="33"/>
  <c r="Y19" i="33"/>
  <c r="X19" i="33"/>
  <c r="W19" i="33"/>
  <c r="V19" i="33"/>
  <c r="I19" i="33"/>
  <c r="O19" i="33" s="1"/>
  <c r="H19" i="33"/>
  <c r="G19" i="33"/>
  <c r="K19" i="33" s="1"/>
  <c r="F19" i="33"/>
  <c r="J19" i="33" s="1"/>
  <c r="E19" i="33"/>
  <c r="D19" i="33"/>
  <c r="C19" i="33"/>
  <c r="B19" i="33"/>
  <c r="A19" i="33"/>
  <c r="Y18" i="33"/>
  <c r="X18" i="33"/>
  <c r="W18" i="33"/>
  <c r="V18" i="33"/>
  <c r="I18" i="33"/>
  <c r="O18" i="33" s="1"/>
  <c r="H18" i="33"/>
  <c r="G18" i="33"/>
  <c r="K18" i="33" s="1"/>
  <c r="F18" i="33"/>
  <c r="J18" i="33" s="1"/>
  <c r="E18" i="33"/>
  <c r="D18" i="33"/>
  <c r="C18" i="33"/>
  <c r="B18" i="33"/>
  <c r="A18" i="33"/>
  <c r="Y17" i="33"/>
  <c r="X17" i="33"/>
  <c r="W17" i="33"/>
  <c r="V17" i="33"/>
  <c r="I17" i="33"/>
  <c r="O17" i="33" s="1"/>
  <c r="H17" i="33"/>
  <c r="G17" i="33"/>
  <c r="K17" i="33" s="1"/>
  <c r="F17" i="33"/>
  <c r="E17" i="33"/>
  <c r="D17" i="33"/>
  <c r="C17" i="33"/>
  <c r="B17" i="33"/>
  <c r="A17" i="33"/>
  <c r="Y16" i="33"/>
  <c r="X16" i="33"/>
  <c r="W16" i="33"/>
  <c r="V16" i="33"/>
  <c r="I16" i="33"/>
  <c r="O16" i="33" s="1"/>
  <c r="H16" i="33"/>
  <c r="G16" i="33"/>
  <c r="K16" i="33" s="1"/>
  <c r="F16" i="33"/>
  <c r="J16" i="33" s="1"/>
  <c r="E16" i="33"/>
  <c r="D16" i="33"/>
  <c r="C16" i="33"/>
  <c r="B16" i="33"/>
  <c r="A16" i="33"/>
  <c r="Y15" i="33"/>
  <c r="X15" i="33"/>
  <c r="W15" i="33"/>
  <c r="V15" i="33"/>
  <c r="I15" i="33"/>
  <c r="O15" i="33" s="1"/>
  <c r="H15" i="33"/>
  <c r="G15" i="33"/>
  <c r="K15" i="33" s="1"/>
  <c r="F15" i="33"/>
  <c r="J15" i="33" s="1"/>
  <c r="E15" i="33"/>
  <c r="D15" i="33"/>
  <c r="C15" i="33"/>
  <c r="B15" i="33"/>
  <c r="A15" i="33"/>
  <c r="Y14" i="33"/>
  <c r="X14" i="33"/>
  <c r="W14" i="33"/>
  <c r="V14" i="33"/>
  <c r="I14" i="33"/>
  <c r="O14" i="33" s="1"/>
  <c r="H14" i="33"/>
  <c r="G14" i="33"/>
  <c r="K14" i="33" s="1"/>
  <c r="F14" i="33"/>
  <c r="J14" i="33" s="1"/>
  <c r="E14" i="33"/>
  <c r="D14" i="33"/>
  <c r="C14" i="33"/>
  <c r="B14" i="33"/>
  <c r="A14" i="33"/>
  <c r="Y13" i="33"/>
  <c r="X13" i="33"/>
  <c r="W13" i="33"/>
  <c r="V13" i="33"/>
  <c r="I13" i="33"/>
  <c r="O13" i="33" s="1"/>
  <c r="H13" i="33"/>
  <c r="G13" i="33"/>
  <c r="K13" i="33" s="1"/>
  <c r="F13" i="33"/>
  <c r="E13" i="33"/>
  <c r="D13" i="33"/>
  <c r="C13" i="33"/>
  <c r="B13" i="33"/>
  <c r="A13" i="33"/>
  <c r="Y12" i="33"/>
  <c r="X12" i="33"/>
  <c r="W12" i="33"/>
  <c r="V12" i="33"/>
  <c r="I12" i="33"/>
  <c r="O12" i="33" s="1"/>
  <c r="H12" i="33"/>
  <c r="G12" i="33"/>
  <c r="K12" i="33" s="1"/>
  <c r="F12" i="33"/>
  <c r="E12" i="33"/>
  <c r="D12" i="33"/>
  <c r="C12" i="33"/>
  <c r="B12" i="33"/>
  <c r="A12" i="33"/>
  <c r="Y11" i="33"/>
  <c r="X11" i="33"/>
  <c r="W11" i="33"/>
  <c r="V11" i="33"/>
  <c r="I11" i="33"/>
  <c r="O11" i="33" s="1"/>
  <c r="H11" i="33"/>
  <c r="G11" i="33"/>
  <c r="K11" i="33" s="1"/>
  <c r="F11" i="33"/>
  <c r="J11" i="33" s="1"/>
  <c r="E11" i="33"/>
  <c r="D11" i="33"/>
  <c r="C11" i="33"/>
  <c r="B11" i="33"/>
  <c r="A11" i="33"/>
  <c r="W7" i="33"/>
  <c r="W6" i="33"/>
  <c r="W5" i="33"/>
  <c r="W4" i="33"/>
  <c r="W2" i="33"/>
  <c r="F35" i="32"/>
  <c r="F34" i="32"/>
  <c r="F33" i="32"/>
  <c r="Y30" i="32"/>
  <c r="X30" i="32"/>
  <c r="W30" i="32"/>
  <c r="V30" i="32"/>
  <c r="I30" i="32"/>
  <c r="O30" i="32" s="1"/>
  <c r="H30" i="32"/>
  <c r="G30" i="32"/>
  <c r="K30" i="32" s="1"/>
  <c r="F30" i="32"/>
  <c r="J30" i="32" s="1"/>
  <c r="E30" i="32"/>
  <c r="D30" i="32"/>
  <c r="C30" i="32"/>
  <c r="B30" i="32"/>
  <c r="Y29" i="32"/>
  <c r="X29" i="32"/>
  <c r="W29" i="32"/>
  <c r="V29" i="32"/>
  <c r="I29" i="32"/>
  <c r="O29" i="32" s="1"/>
  <c r="H29" i="32"/>
  <c r="G29" i="32"/>
  <c r="K29" i="32" s="1"/>
  <c r="F29" i="32"/>
  <c r="E29" i="32"/>
  <c r="D29" i="32"/>
  <c r="C29" i="32"/>
  <c r="B29" i="32"/>
  <c r="Y28" i="32"/>
  <c r="X28" i="32"/>
  <c r="W28" i="32"/>
  <c r="V28" i="32"/>
  <c r="I28" i="32"/>
  <c r="O28" i="32" s="1"/>
  <c r="H28" i="32"/>
  <c r="G28" i="32"/>
  <c r="K28" i="32" s="1"/>
  <c r="F28" i="32"/>
  <c r="E28" i="32"/>
  <c r="D28" i="32"/>
  <c r="C28" i="32"/>
  <c r="B28" i="32"/>
  <c r="Y27" i="32"/>
  <c r="X27" i="32"/>
  <c r="W27" i="32"/>
  <c r="V27" i="32"/>
  <c r="I27" i="32"/>
  <c r="O27" i="32" s="1"/>
  <c r="H27" i="32"/>
  <c r="G27" i="32"/>
  <c r="K27" i="32" s="1"/>
  <c r="F27" i="32"/>
  <c r="E27" i="32"/>
  <c r="D27" i="32"/>
  <c r="C27" i="32"/>
  <c r="B27" i="32"/>
  <c r="Y26" i="32"/>
  <c r="X26" i="32"/>
  <c r="W26" i="32"/>
  <c r="V26" i="32"/>
  <c r="I26" i="32"/>
  <c r="O26" i="32" s="1"/>
  <c r="H26" i="32"/>
  <c r="G26" i="32"/>
  <c r="K26" i="32" s="1"/>
  <c r="F26" i="32"/>
  <c r="J26" i="32" s="1"/>
  <c r="E26" i="32"/>
  <c r="D26" i="32"/>
  <c r="C26" i="32"/>
  <c r="B26" i="32"/>
  <c r="Y25" i="32"/>
  <c r="X25" i="32"/>
  <c r="W25" i="32"/>
  <c r="V25" i="32"/>
  <c r="I25" i="32"/>
  <c r="O25" i="32" s="1"/>
  <c r="H25" i="32"/>
  <c r="G25" i="32"/>
  <c r="K25" i="32" s="1"/>
  <c r="F25" i="32"/>
  <c r="E25" i="32"/>
  <c r="D25" i="32"/>
  <c r="C25" i="32"/>
  <c r="B25" i="32"/>
  <c r="Y24" i="32"/>
  <c r="X24" i="32"/>
  <c r="W24" i="32"/>
  <c r="V24" i="32"/>
  <c r="I24" i="32"/>
  <c r="O24" i="32" s="1"/>
  <c r="H24" i="32"/>
  <c r="G24" i="32"/>
  <c r="K24" i="32" s="1"/>
  <c r="F24" i="32"/>
  <c r="E24" i="32"/>
  <c r="D24" i="32"/>
  <c r="C24" i="32"/>
  <c r="B24" i="32"/>
  <c r="Y23" i="32"/>
  <c r="X23" i="32"/>
  <c r="W23" i="32"/>
  <c r="V23" i="32"/>
  <c r="I23" i="32"/>
  <c r="O23" i="32" s="1"/>
  <c r="H23" i="32"/>
  <c r="G23" i="32"/>
  <c r="F23" i="32"/>
  <c r="J23" i="32" s="1"/>
  <c r="E23" i="32"/>
  <c r="D23" i="32"/>
  <c r="C23" i="32"/>
  <c r="B23" i="32"/>
  <c r="Y22" i="32"/>
  <c r="X22" i="32"/>
  <c r="W22" i="32"/>
  <c r="V22" i="32"/>
  <c r="I22" i="32"/>
  <c r="O22" i="32" s="1"/>
  <c r="H22" i="32"/>
  <c r="G22" i="32"/>
  <c r="K22" i="32" s="1"/>
  <c r="F22" i="32"/>
  <c r="J22" i="32" s="1"/>
  <c r="E22" i="32"/>
  <c r="D22" i="32"/>
  <c r="C22" i="32"/>
  <c r="B22" i="32"/>
  <c r="Y21" i="32"/>
  <c r="X21" i="32"/>
  <c r="W21" i="32"/>
  <c r="V21" i="32"/>
  <c r="I21" i="32"/>
  <c r="O21" i="32" s="1"/>
  <c r="H21" i="32"/>
  <c r="G21" i="32"/>
  <c r="K21" i="32" s="1"/>
  <c r="F21" i="32"/>
  <c r="E21" i="32"/>
  <c r="D21" i="32"/>
  <c r="C21" i="32"/>
  <c r="B21" i="32"/>
  <c r="Y20" i="32"/>
  <c r="X20" i="32"/>
  <c r="W20" i="32"/>
  <c r="V20" i="32"/>
  <c r="I20" i="32"/>
  <c r="O20" i="32" s="1"/>
  <c r="H20" i="32"/>
  <c r="G20" i="32"/>
  <c r="F20" i="32"/>
  <c r="E20" i="32"/>
  <c r="D20" i="32"/>
  <c r="C20" i="32"/>
  <c r="B20" i="32"/>
  <c r="Y19" i="32"/>
  <c r="X19" i="32"/>
  <c r="W19" i="32"/>
  <c r="V19" i="32"/>
  <c r="I19" i="32"/>
  <c r="O19" i="32" s="1"/>
  <c r="H19" i="32"/>
  <c r="G19" i="32"/>
  <c r="N19" i="32" s="1"/>
  <c r="F19" i="32"/>
  <c r="J19" i="32" s="1"/>
  <c r="E19" i="32"/>
  <c r="D19" i="32"/>
  <c r="C19" i="32"/>
  <c r="B19" i="32"/>
  <c r="Y18" i="32"/>
  <c r="X18" i="32"/>
  <c r="W18" i="32"/>
  <c r="V18" i="32"/>
  <c r="I18" i="32"/>
  <c r="O18" i="32" s="1"/>
  <c r="H18" i="32"/>
  <c r="G18" i="32"/>
  <c r="K18" i="32" s="1"/>
  <c r="F18" i="32"/>
  <c r="J18" i="32" s="1"/>
  <c r="E18" i="32"/>
  <c r="D18" i="32"/>
  <c r="C18" i="32"/>
  <c r="B18" i="32"/>
  <c r="Y17" i="32"/>
  <c r="X17" i="32"/>
  <c r="W17" i="32"/>
  <c r="V17" i="32"/>
  <c r="I17" i="32"/>
  <c r="O17" i="32" s="1"/>
  <c r="H17" i="32"/>
  <c r="G17" i="32"/>
  <c r="K17" i="32" s="1"/>
  <c r="F17" i="32"/>
  <c r="E17" i="32"/>
  <c r="D17" i="32"/>
  <c r="C17" i="32"/>
  <c r="B17" i="32"/>
  <c r="Y16" i="32"/>
  <c r="X16" i="32"/>
  <c r="W16" i="32"/>
  <c r="V16" i="32"/>
  <c r="I16" i="32"/>
  <c r="O16" i="32" s="1"/>
  <c r="H16" i="32"/>
  <c r="G16" i="32"/>
  <c r="N16" i="32" s="1"/>
  <c r="F16" i="32"/>
  <c r="E16" i="32"/>
  <c r="D16" i="32"/>
  <c r="C16" i="32"/>
  <c r="B16" i="32"/>
  <c r="Y15" i="32"/>
  <c r="X15" i="32"/>
  <c r="W15" i="32"/>
  <c r="V15" i="32"/>
  <c r="I15" i="32"/>
  <c r="O15" i="32" s="1"/>
  <c r="H15" i="32"/>
  <c r="G15" i="32"/>
  <c r="N15" i="32" s="1"/>
  <c r="F15" i="32"/>
  <c r="J15" i="32" s="1"/>
  <c r="E15" i="32"/>
  <c r="D15" i="32"/>
  <c r="C15" i="32"/>
  <c r="B15" i="32"/>
  <c r="Y14" i="32"/>
  <c r="X14" i="32"/>
  <c r="W14" i="32"/>
  <c r="V14" i="32"/>
  <c r="I14" i="32"/>
  <c r="O14" i="32" s="1"/>
  <c r="H14" i="32"/>
  <c r="G14" i="32"/>
  <c r="K14" i="32" s="1"/>
  <c r="F14" i="32"/>
  <c r="J14" i="32" s="1"/>
  <c r="E14" i="32"/>
  <c r="D14" i="32"/>
  <c r="C14" i="32"/>
  <c r="B14" i="32"/>
  <c r="Y13" i="32"/>
  <c r="X13" i="32"/>
  <c r="W13" i="32"/>
  <c r="V13" i="32"/>
  <c r="I13" i="32"/>
  <c r="O13" i="32" s="1"/>
  <c r="H13" i="32"/>
  <c r="G13" i="32"/>
  <c r="K13" i="32" s="1"/>
  <c r="F13" i="32"/>
  <c r="E13" i="32"/>
  <c r="D13" i="32"/>
  <c r="C13" i="32"/>
  <c r="B13" i="32"/>
  <c r="Y12" i="32"/>
  <c r="X12" i="32"/>
  <c r="W12" i="32"/>
  <c r="V12" i="32"/>
  <c r="I12" i="32"/>
  <c r="O12" i="32" s="1"/>
  <c r="H12" i="32"/>
  <c r="G12" i="32"/>
  <c r="N12" i="32" s="1"/>
  <c r="F12" i="32"/>
  <c r="E12" i="32"/>
  <c r="D12" i="32"/>
  <c r="C12" i="32"/>
  <c r="B12" i="32"/>
  <c r="Y11" i="32"/>
  <c r="X11" i="32"/>
  <c r="W11" i="32"/>
  <c r="V11" i="32"/>
  <c r="I11" i="32"/>
  <c r="O11" i="32" s="1"/>
  <c r="H11" i="32"/>
  <c r="G11" i="32"/>
  <c r="F11" i="32"/>
  <c r="J11" i="32" s="1"/>
  <c r="E11" i="32"/>
  <c r="D11" i="32"/>
  <c r="C11" i="32"/>
  <c r="B11" i="32"/>
  <c r="W8" i="32"/>
  <c r="A24" i="32"/>
  <c r="W2" i="32"/>
  <c r="Y30" i="31"/>
  <c r="X30" i="31"/>
  <c r="W30" i="31"/>
  <c r="V30" i="31"/>
  <c r="I30" i="31"/>
  <c r="O30" i="31" s="1"/>
  <c r="H30" i="31"/>
  <c r="G30" i="31"/>
  <c r="N30" i="31" s="1"/>
  <c r="F30" i="31"/>
  <c r="E30" i="31"/>
  <c r="D30" i="31"/>
  <c r="C30" i="31"/>
  <c r="B30" i="31"/>
  <c r="A30" i="31"/>
  <c r="Y29" i="31"/>
  <c r="X29" i="31"/>
  <c r="W29" i="31"/>
  <c r="V29" i="31"/>
  <c r="I29" i="31"/>
  <c r="O29" i="31" s="1"/>
  <c r="H29" i="31"/>
  <c r="G29" i="31"/>
  <c r="K29" i="31" s="1"/>
  <c r="F29" i="31"/>
  <c r="E29" i="31"/>
  <c r="D29" i="31"/>
  <c r="C29" i="31"/>
  <c r="B29" i="31"/>
  <c r="A29" i="31"/>
  <c r="Y28" i="31"/>
  <c r="X28" i="31"/>
  <c r="W28" i="31"/>
  <c r="V28" i="31"/>
  <c r="I28" i="31"/>
  <c r="O28" i="31" s="1"/>
  <c r="H28" i="31"/>
  <c r="G28" i="31"/>
  <c r="K28" i="31" s="1"/>
  <c r="F28" i="31"/>
  <c r="E28" i="31"/>
  <c r="D28" i="31"/>
  <c r="C28" i="31"/>
  <c r="B28" i="31"/>
  <c r="A28" i="31"/>
  <c r="Y27" i="31"/>
  <c r="X27" i="31"/>
  <c r="W27" i="31"/>
  <c r="V27" i="31"/>
  <c r="I27" i="31"/>
  <c r="O27" i="31" s="1"/>
  <c r="H27" i="31"/>
  <c r="G27" i="31"/>
  <c r="K27" i="31" s="1"/>
  <c r="F27" i="31"/>
  <c r="E27" i="31"/>
  <c r="D27" i="31"/>
  <c r="C27" i="31"/>
  <c r="B27" i="31"/>
  <c r="A27" i="31"/>
  <c r="Y26" i="31"/>
  <c r="X26" i="31"/>
  <c r="W26" i="31"/>
  <c r="V26" i="31"/>
  <c r="I26" i="31"/>
  <c r="O26" i="31" s="1"/>
  <c r="H26" i="31"/>
  <c r="G26" i="31"/>
  <c r="K26" i="31" s="1"/>
  <c r="F26" i="31"/>
  <c r="E26" i="31"/>
  <c r="D26" i="31"/>
  <c r="C26" i="31"/>
  <c r="B26" i="31"/>
  <c r="A26" i="31"/>
  <c r="Y25" i="31"/>
  <c r="X25" i="31"/>
  <c r="W25" i="31"/>
  <c r="V25" i="31"/>
  <c r="I25" i="31"/>
  <c r="O25" i="31" s="1"/>
  <c r="H25" i="31"/>
  <c r="G25" i="31"/>
  <c r="K25" i="31" s="1"/>
  <c r="F25" i="31"/>
  <c r="E25" i="31"/>
  <c r="D25" i="31"/>
  <c r="C25" i="31"/>
  <c r="B25" i="31"/>
  <c r="A25" i="31"/>
  <c r="Y24" i="31"/>
  <c r="X24" i="31"/>
  <c r="W24" i="31"/>
  <c r="V24" i="31"/>
  <c r="I24" i="31"/>
  <c r="O24" i="31" s="1"/>
  <c r="H24" i="31"/>
  <c r="G24" i="31"/>
  <c r="K24" i="31" s="1"/>
  <c r="F24" i="31"/>
  <c r="E24" i="31"/>
  <c r="D24" i="31"/>
  <c r="C24" i="31"/>
  <c r="B24" i="31"/>
  <c r="A24" i="31"/>
  <c r="Y23" i="31"/>
  <c r="X23" i="31"/>
  <c r="W23" i="31"/>
  <c r="V23" i="31"/>
  <c r="I23" i="31"/>
  <c r="O23" i="31" s="1"/>
  <c r="H23" i="31"/>
  <c r="G23" i="31"/>
  <c r="K23" i="31" s="1"/>
  <c r="F23" i="31"/>
  <c r="E23" i="31"/>
  <c r="D23" i="31"/>
  <c r="C23" i="31"/>
  <c r="B23" i="31"/>
  <c r="A23" i="31"/>
  <c r="Y22" i="31"/>
  <c r="X22" i="31"/>
  <c r="W22" i="31"/>
  <c r="V22" i="31"/>
  <c r="I22" i="31"/>
  <c r="O22" i="31" s="1"/>
  <c r="H22" i="31"/>
  <c r="G22" i="31"/>
  <c r="K22" i="31" s="1"/>
  <c r="F22" i="31"/>
  <c r="E22" i="31"/>
  <c r="D22" i="31"/>
  <c r="C22" i="31"/>
  <c r="B22" i="31"/>
  <c r="A22" i="31"/>
  <c r="Y21" i="31"/>
  <c r="X21" i="31"/>
  <c r="W21" i="31"/>
  <c r="V21" i="31"/>
  <c r="I21" i="31"/>
  <c r="O21" i="31" s="1"/>
  <c r="H21" i="31"/>
  <c r="G21" i="31"/>
  <c r="K21" i="31" s="1"/>
  <c r="F21" i="31"/>
  <c r="E21" i="31"/>
  <c r="D21" i="31"/>
  <c r="C21" i="31"/>
  <c r="B21" i="31"/>
  <c r="A21" i="31"/>
  <c r="Y20" i="31"/>
  <c r="X20" i="31"/>
  <c r="W20" i="31"/>
  <c r="V20" i="31"/>
  <c r="I20" i="31"/>
  <c r="O20" i="31" s="1"/>
  <c r="H20" i="31"/>
  <c r="G20" i="31"/>
  <c r="K20" i="31" s="1"/>
  <c r="F20" i="31"/>
  <c r="E20" i="31"/>
  <c r="D20" i="31"/>
  <c r="C20" i="31"/>
  <c r="B20" i="31"/>
  <c r="A20" i="31"/>
  <c r="Y19" i="31"/>
  <c r="X19" i="31"/>
  <c r="W19" i="31"/>
  <c r="V19" i="31"/>
  <c r="I19" i="31"/>
  <c r="O19" i="31" s="1"/>
  <c r="H19" i="31"/>
  <c r="G19" i="31"/>
  <c r="K19" i="31" s="1"/>
  <c r="F19" i="31"/>
  <c r="E19" i="31"/>
  <c r="D19" i="31"/>
  <c r="C19" i="31"/>
  <c r="B19" i="31"/>
  <c r="A19" i="31"/>
  <c r="Y18" i="31"/>
  <c r="X18" i="31"/>
  <c r="W18" i="31"/>
  <c r="V18" i="31"/>
  <c r="I18" i="31"/>
  <c r="O18" i="31" s="1"/>
  <c r="H18" i="31"/>
  <c r="G18" i="31"/>
  <c r="K18" i="31" s="1"/>
  <c r="F18" i="31"/>
  <c r="E18" i="31"/>
  <c r="D18" i="31"/>
  <c r="C18" i="31"/>
  <c r="B18" i="31"/>
  <c r="A18" i="31"/>
  <c r="Y17" i="31"/>
  <c r="X17" i="31"/>
  <c r="W17" i="31"/>
  <c r="V17" i="31"/>
  <c r="I17" i="31"/>
  <c r="O17" i="31" s="1"/>
  <c r="H17" i="31"/>
  <c r="G17" i="31"/>
  <c r="K17" i="31" s="1"/>
  <c r="F17" i="31"/>
  <c r="E17" i="31"/>
  <c r="D17" i="31"/>
  <c r="C17" i="31"/>
  <c r="B17" i="31"/>
  <c r="A17" i="31"/>
  <c r="Y16" i="31"/>
  <c r="X16" i="31"/>
  <c r="W16" i="31"/>
  <c r="V16" i="31"/>
  <c r="I16" i="31"/>
  <c r="O16" i="31" s="1"/>
  <c r="H16" i="31"/>
  <c r="G16" i="31"/>
  <c r="K16" i="31" s="1"/>
  <c r="F16" i="31"/>
  <c r="E16" i="31"/>
  <c r="D16" i="31"/>
  <c r="C16" i="31"/>
  <c r="B16" i="31"/>
  <c r="A16" i="31"/>
  <c r="Y15" i="31"/>
  <c r="X15" i="31"/>
  <c r="W15" i="31"/>
  <c r="V15" i="31"/>
  <c r="I15" i="31"/>
  <c r="O15" i="31" s="1"/>
  <c r="H15" i="31"/>
  <c r="G15" i="31"/>
  <c r="K15" i="31" s="1"/>
  <c r="F15" i="31"/>
  <c r="E15" i="31"/>
  <c r="D15" i="31"/>
  <c r="C15" i="31"/>
  <c r="B15" i="31"/>
  <c r="A15" i="31"/>
  <c r="Y14" i="31"/>
  <c r="X14" i="31"/>
  <c r="W14" i="31"/>
  <c r="V14" i="31"/>
  <c r="I14" i="31"/>
  <c r="O14" i="31" s="1"/>
  <c r="H14" i="31"/>
  <c r="G14" i="31"/>
  <c r="K14" i="31" s="1"/>
  <c r="F14" i="31"/>
  <c r="E14" i="31"/>
  <c r="D14" i="31"/>
  <c r="C14" i="31"/>
  <c r="B14" i="31"/>
  <c r="A14" i="31"/>
  <c r="Y13" i="31"/>
  <c r="X13" i="31"/>
  <c r="W13" i="31"/>
  <c r="V13" i="31"/>
  <c r="I13" i="31"/>
  <c r="O13" i="31" s="1"/>
  <c r="H13" i="31"/>
  <c r="G13" i="31"/>
  <c r="K13" i="31" s="1"/>
  <c r="F13" i="31"/>
  <c r="E13" i="31"/>
  <c r="D13" i="31"/>
  <c r="C13" i="31"/>
  <c r="B13" i="31"/>
  <c r="A13" i="31"/>
  <c r="Y12" i="31"/>
  <c r="X12" i="31"/>
  <c r="W12" i="31"/>
  <c r="V12" i="31"/>
  <c r="I12" i="31"/>
  <c r="O12" i="31" s="1"/>
  <c r="H12" i="31"/>
  <c r="G12" i="31"/>
  <c r="K12" i="31" s="1"/>
  <c r="F12" i="31"/>
  <c r="E12" i="31"/>
  <c r="D12" i="31"/>
  <c r="C12" i="31"/>
  <c r="B12" i="31"/>
  <c r="A12" i="31"/>
  <c r="Y11" i="31"/>
  <c r="X11" i="31"/>
  <c r="W11" i="31"/>
  <c r="V11" i="31"/>
  <c r="I11" i="31"/>
  <c r="O11" i="31" s="1"/>
  <c r="H11" i="31"/>
  <c r="G11" i="31"/>
  <c r="K11" i="31" s="1"/>
  <c r="F11" i="31"/>
  <c r="E11" i="31"/>
  <c r="D11" i="31"/>
  <c r="C11" i="31"/>
  <c r="B11" i="31"/>
  <c r="A11" i="31"/>
  <c r="W2" i="31"/>
  <c r="H266" i="30"/>
  <c r="Q266" i="30" s="1"/>
  <c r="R260" i="30"/>
  <c r="I260" i="30"/>
  <c r="H252" i="30"/>
  <c r="Q252" i="30" s="1"/>
  <c r="R246" i="30"/>
  <c r="I246" i="30"/>
  <c r="H238" i="30"/>
  <c r="Q238" i="30" s="1"/>
  <c r="R232" i="30"/>
  <c r="I232" i="30"/>
  <c r="H224" i="30"/>
  <c r="Q224" i="30" s="1"/>
  <c r="R218" i="30"/>
  <c r="I218" i="30"/>
  <c r="H212" i="30"/>
  <c r="Q212" i="30" s="1"/>
  <c r="R206" i="30"/>
  <c r="I206" i="30"/>
  <c r="H198" i="30"/>
  <c r="Q198" i="30" s="1"/>
  <c r="R192" i="30"/>
  <c r="I192" i="30"/>
  <c r="H184" i="30"/>
  <c r="Q184" i="30" s="1"/>
  <c r="R178" i="30"/>
  <c r="I178" i="30"/>
  <c r="H170" i="30"/>
  <c r="Q170" i="30" s="1"/>
  <c r="R164" i="30"/>
  <c r="I164" i="30"/>
  <c r="H158" i="30"/>
  <c r="Q158" i="30" s="1"/>
  <c r="R152" i="30"/>
  <c r="I152" i="30"/>
  <c r="H144" i="30"/>
  <c r="Q144" i="30" s="1"/>
  <c r="R138" i="30"/>
  <c r="I138" i="30"/>
  <c r="H130" i="30"/>
  <c r="Q130" i="30" s="1"/>
  <c r="R124" i="30"/>
  <c r="I124" i="30"/>
  <c r="H116" i="30"/>
  <c r="Q116" i="30" s="1"/>
  <c r="R110" i="30"/>
  <c r="I110" i="30"/>
  <c r="H104" i="30"/>
  <c r="Q104" i="30" s="1"/>
  <c r="R98" i="30"/>
  <c r="I98" i="30"/>
  <c r="H90" i="30"/>
  <c r="Q90" i="30" s="1"/>
  <c r="R84" i="30"/>
  <c r="I84" i="30"/>
  <c r="H76" i="30"/>
  <c r="Q76" i="30" s="1"/>
  <c r="R70" i="30"/>
  <c r="I70" i="30"/>
  <c r="H62" i="30"/>
  <c r="Q62" i="30" s="1"/>
  <c r="R56" i="30"/>
  <c r="I56" i="30"/>
  <c r="H50" i="30"/>
  <c r="Q50" i="30" s="1"/>
  <c r="R44" i="30"/>
  <c r="I44" i="30"/>
  <c r="H36" i="30"/>
  <c r="Q36" i="30" s="1"/>
  <c r="R30" i="30"/>
  <c r="I30" i="30"/>
  <c r="H22" i="30"/>
  <c r="Q22" i="30" s="1"/>
  <c r="R16" i="30"/>
  <c r="I16" i="30"/>
  <c r="H8" i="30"/>
  <c r="Q8" i="30" s="1"/>
  <c r="R2" i="30"/>
  <c r="I2" i="30"/>
  <c r="BC31" i="29"/>
  <c r="BH30" i="29"/>
  <c r="BG30" i="29"/>
  <c r="AQ30" i="29"/>
  <c r="AP30" i="29"/>
  <c r="AG30" i="29"/>
  <c r="AE30" i="29"/>
  <c r="AD30" i="29"/>
  <c r="AA30" i="29"/>
  <c r="BF30" i="29" s="1"/>
  <c r="BE30" i="29" s="1"/>
  <c r="U30" i="29"/>
  <c r="AN30" i="29" s="1"/>
  <c r="S30" i="29"/>
  <c r="R30" i="29"/>
  <c r="P30" i="29"/>
  <c r="O30" i="29"/>
  <c r="N30" i="29"/>
  <c r="M30" i="29"/>
  <c r="L30" i="29"/>
  <c r="K30" i="29"/>
  <c r="J30" i="29"/>
  <c r="A30" i="29"/>
  <c r="BG29" i="29"/>
  <c r="BH29" i="29" s="1"/>
  <c r="AQ29" i="29"/>
  <c r="AP29" i="29"/>
  <c r="AG29" i="29"/>
  <c r="AE29" i="29"/>
  <c r="AD29" i="29"/>
  <c r="AA29" i="29"/>
  <c r="BC29" i="29" s="1"/>
  <c r="U29" i="29"/>
  <c r="AN29" i="29" s="1"/>
  <c r="S29" i="29"/>
  <c r="R29" i="29"/>
  <c r="Q29" i="31"/>
  <c r="P29" i="29"/>
  <c r="O29" i="29"/>
  <c r="N29" i="29"/>
  <c r="M29" i="29"/>
  <c r="L29" i="29"/>
  <c r="K29" i="29"/>
  <c r="J29" i="29"/>
  <c r="A29" i="29"/>
  <c r="BH28" i="29"/>
  <c r="BG28" i="29"/>
  <c r="M28" i="29"/>
  <c r="AQ28" i="29"/>
  <c r="AP28" i="29"/>
  <c r="AG28" i="29"/>
  <c r="AE28" i="29"/>
  <c r="AD28" i="29"/>
  <c r="AA28" i="29"/>
  <c r="BC28" i="29" s="1"/>
  <c r="U28" i="29"/>
  <c r="AN28" i="29" s="1"/>
  <c r="S28" i="29"/>
  <c r="R28" i="29"/>
  <c r="P28" i="29"/>
  <c r="O28" i="29"/>
  <c r="N28" i="29"/>
  <c r="L28" i="29"/>
  <c r="K28" i="29"/>
  <c r="J28" i="29"/>
  <c r="A28" i="29"/>
  <c r="BG27" i="29"/>
  <c r="BH27" i="29" s="1"/>
  <c r="AQ27" i="29"/>
  <c r="AP27" i="29"/>
  <c r="AG27" i="29"/>
  <c r="AE27" i="29"/>
  <c r="AD27" i="29"/>
  <c r="AA27" i="29"/>
  <c r="BF27" i="29" s="1"/>
  <c r="BE27" i="29" s="1"/>
  <c r="U27" i="29"/>
  <c r="AN27" i="29" s="1"/>
  <c r="S27" i="29"/>
  <c r="R27" i="29"/>
  <c r="P27" i="29"/>
  <c r="O27" i="29"/>
  <c r="N27" i="29"/>
  <c r="M27" i="29"/>
  <c r="BD27" i="29" s="1"/>
  <c r="AB27" i="29" s="1"/>
  <c r="AM27" i="29" s="1"/>
  <c r="L27" i="29"/>
  <c r="K27" i="29"/>
  <c r="J27" i="29"/>
  <c r="A27" i="29"/>
  <c r="BG26" i="29"/>
  <c r="BH26" i="29" s="1"/>
  <c r="AQ26" i="29"/>
  <c r="AP26" i="29"/>
  <c r="AG26" i="29"/>
  <c r="AE26" i="29"/>
  <c r="AD26" i="29"/>
  <c r="AA26" i="29"/>
  <c r="BC26" i="29" s="1"/>
  <c r="U26" i="29"/>
  <c r="AN26" i="29" s="1"/>
  <c r="S26" i="29"/>
  <c r="R26" i="29"/>
  <c r="Q26" i="33"/>
  <c r="P26" i="29"/>
  <c r="O26" i="29"/>
  <c r="N26" i="29"/>
  <c r="M26" i="29"/>
  <c r="L26" i="29"/>
  <c r="K26" i="29"/>
  <c r="J26" i="29"/>
  <c r="A26" i="29"/>
  <c r="BG25" i="29"/>
  <c r="BH25" i="29" s="1"/>
  <c r="AQ25" i="29"/>
  <c r="AP25" i="29"/>
  <c r="AG25" i="29"/>
  <c r="AE25" i="29"/>
  <c r="AD25" i="29"/>
  <c r="AA25" i="29"/>
  <c r="BC25" i="29" s="1"/>
  <c r="U25" i="29"/>
  <c r="AN25" i="29" s="1"/>
  <c r="S25" i="29"/>
  <c r="R25" i="29"/>
  <c r="P25" i="29"/>
  <c r="O25" i="29"/>
  <c r="N25" i="29"/>
  <c r="M25" i="29"/>
  <c r="L25" i="29"/>
  <c r="K25" i="29"/>
  <c r="J25" i="29"/>
  <c r="A25" i="29"/>
  <c r="BH24" i="29"/>
  <c r="BG24" i="29"/>
  <c r="M24" i="29"/>
  <c r="AQ24" i="29"/>
  <c r="AP24" i="29"/>
  <c r="AG24" i="29"/>
  <c r="AE24" i="29"/>
  <c r="AD24" i="29"/>
  <c r="AA24" i="29"/>
  <c r="BC24" i="29" s="1"/>
  <c r="U24" i="29"/>
  <c r="AN24" i="29" s="1"/>
  <c r="S24" i="29"/>
  <c r="R24" i="29"/>
  <c r="P24" i="29"/>
  <c r="O24" i="29"/>
  <c r="N24" i="29"/>
  <c r="L24" i="29"/>
  <c r="K24" i="29"/>
  <c r="J24" i="29"/>
  <c r="A24" i="29"/>
  <c r="BG23" i="29"/>
  <c r="BH23" i="29" s="1"/>
  <c r="AQ23" i="29"/>
  <c r="AP23" i="29"/>
  <c r="AG23" i="29"/>
  <c r="AE23" i="29"/>
  <c r="AD23" i="29"/>
  <c r="AA23" i="29"/>
  <c r="BF23" i="29" s="1"/>
  <c r="BE23" i="29" s="1"/>
  <c r="U23" i="29"/>
  <c r="AN23" i="29" s="1"/>
  <c r="S23" i="29"/>
  <c r="R23" i="29"/>
  <c r="P23" i="29"/>
  <c r="O23" i="29"/>
  <c r="N23" i="29"/>
  <c r="M23" i="29"/>
  <c r="BD23" i="29" s="1"/>
  <c r="AB23" i="29" s="1"/>
  <c r="AM23" i="29" s="1"/>
  <c r="L23" i="29"/>
  <c r="K23" i="29"/>
  <c r="J23" i="29"/>
  <c r="A23" i="29"/>
  <c r="BG22" i="29"/>
  <c r="BH22" i="29" s="1"/>
  <c r="AQ22" i="29"/>
  <c r="AP22" i="29"/>
  <c r="AG22" i="29"/>
  <c r="AE22" i="29"/>
  <c r="AD22" i="29"/>
  <c r="AA22" i="29"/>
  <c r="BC22" i="29" s="1"/>
  <c r="U22" i="29"/>
  <c r="AN22" i="29" s="1"/>
  <c r="S22" i="29"/>
  <c r="R22" i="29"/>
  <c r="P22" i="29"/>
  <c r="O22" i="29"/>
  <c r="N22" i="29"/>
  <c r="M22" i="29"/>
  <c r="L22" i="29"/>
  <c r="K22" i="29"/>
  <c r="J22" i="29"/>
  <c r="A22" i="29"/>
  <c r="BG21" i="29"/>
  <c r="BH21" i="29" s="1"/>
  <c r="M21" i="29"/>
  <c r="AQ21" i="29"/>
  <c r="AP21" i="29"/>
  <c r="AG21" i="29"/>
  <c r="AE21" i="29"/>
  <c r="AD21" i="29"/>
  <c r="U21" i="29"/>
  <c r="AN21" i="29" s="1"/>
  <c r="S21" i="29"/>
  <c r="R21" i="29"/>
  <c r="P21" i="29"/>
  <c r="O21" i="29"/>
  <c r="N21" i="29"/>
  <c r="L21" i="29"/>
  <c r="K21" i="29"/>
  <c r="J21" i="29"/>
  <c r="A21" i="29"/>
  <c r="BG20" i="29"/>
  <c r="M20" i="29"/>
  <c r="AQ20" i="29"/>
  <c r="AP20" i="29"/>
  <c r="AG20" i="29"/>
  <c r="AE20" i="29"/>
  <c r="AD20" i="29"/>
  <c r="U20" i="29"/>
  <c r="AN20" i="29" s="1"/>
  <c r="S20" i="29"/>
  <c r="R20" i="29"/>
  <c r="P20" i="29"/>
  <c r="BA20" i="29" s="1"/>
  <c r="O20" i="29"/>
  <c r="N20" i="29"/>
  <c r="L20" i="29"/>
  <c r="K20" i="29"/>
  <c r="J20" i="29"/>
  <c r="A20" i="29"/>
  <c r="BG19" i="29"/>
  <c r="BH19" i="29" s="1"/>
  <c r="M19" i="29"/>
  <c r="AQ19" i="29"/>
  <c r="AP19" i="29"/>
  <c r="AG19" i="29"/>
  <c r="AE19" i="29"/>
  <c r="AD19" i="29"/>
  <c r="U19" i="29"/>
  <c r="AN19" i="29" s="1"/>
  <c r="S19" i="29"/>
  <c r="R19" i="29"/>
  <c r="P19" i="29"/>
  <c r="BA19" i="29" s="1"/>
  <c r="O19" i="29"/>
  <c r="N19" i="29"/>
  <c r="L19" i="29"/>
  <c r="K19" i="29"/>
  <c r="J19" i="29"/>
  <c r="A19" i="29"/>
  <c r="BG18" i="29"/>
  <c r="BH18" i="29" s="1"/>
  <c r="M18" i="29"/>
  <c r="AQ18" i="29"/>
  <c r="AP18" i="29"/>
  <c r="AG18" i="29"/>
  <c r="AE18" i="29"/>
  <c r="AD18" i="29"/>
  <c r="U18" i="29"/>
  <c r="AN18" i="29" s="1"/>
  <c r="S18" i="29"/>
  <c r="R18" i="29"/>
  <c r="P18" i="29"/>
  <c r="BA18" i="29" s="1"/>
  <c r="O18" i="29"/>
  <c r="N18" i="29"/>
  <c r="L18" i="29"/>
  <c r="K18" i="29"/>
  <c r="J18" i="29"/>
  <c r="A18" i="29"/>
  <c r="BG17" i="29"/>
  <c r="BH17" i="29" s="1"/>
  <c r="M17" i="29"/>
  <c r="AQ17" i="29"/>
  <c r="AP17" i="29"/>
  <c r="AG17" i="29"/>
  <c r="AE17" i="29"/>
  <c r="AD17" i="29"/>
  <c r="U17" i="29"/>
  <c r="AN17" i="29" s="1"/>
  <c r="S17" i="29"/>
  <c r="R17" i="29"/>
  <c r="P17" i="29"/>
  <c r="BA17" i="29" s="1"/>
  <c r="O17" i="29"/>
  <c r="N17" i="29"/>
  <c r="L17" i="29"/>
  <c r="K17" i="29"/>
  <c r="J17" i="29"/>
  <c r="A17" i="29"/>
  <c r="BG16" i="29"/>
  <c r="BH16" i="29" s="1"/>
  <c r="M16" i="29"/>
  <c r="AQ16" i="29"/>
  <c r="AG16" i="29"/>
  <c r="U16" i="29"/>
  <c r="AN16" i="29" s="1"/>
  <c r="R16" i="29"/>
  <c r="S16" i="29" s="1"/>
  <c r="P16" i="29"/>
  <c r="BA16" i="29" s="1"/>
  <c r="O16" i="29"/>
  <c r="N16" i="29"/>
  <c r="L16" i="29"/>
  <c r="K16" i="29"/>
  <c r="J16" i="29"/>
  <c r="A16" i="29"/>
  <c r="BG15" i="29"/>
  <c r="BH15" i="29" s="1"/>
  <c r="AQ15" i="29"/>
  <c r="AG15" i="29"/>
  <c r="U15" i="29"/>
  <c r="AN15" i="29" s="1"/>
  <c r="R15" i="29"/>
  <c r="S15" i="29" s="1"/>
  <c r="P15" i="29"/>
  <c r="BA15" i="29" s="1"/>
  <c r="O15" i="29"/>
  <c r="N15" i="29"/>
  <c r="M15" i="29"/>
  <c r="L15" i="29"/>
  <c r="K15" i="29"/>
  <c r="J15" i="29"/>
  <c r="A15" i="29"/>
  <c r="BG14" i="29"/>
  <c r="BH14" i="29" s="1"/>
  <c r="M14" i="29"/>
  <c r="AQ14" i="29"/>
  <c r="AG14" i="29"/>
  <c r="AD14" i="29"/>
  <c r="AE14" i="29" s="1"/>
  <c r="AP14" i="29" s="1"/>
  <c r="U14" i="29"/>
  <c r="AN14" i="29" s="1"/>
  <c r="R14" i="29"/>
  <c r="S14" i="29" s="1"/>
  <c r="P14" i="29"/>
  <c r="BA14" i="29" s="1"/>
  <c r="O14" i="29"/>
  <c r="N14" i="29"/>
  <c r="L14" i="29"/>
  <c r="K14" i="29"/>
  <c r="J14" i="29"/>
  <c r="A14" i="29"/>
  <c r="BG13" i="29"/>
  <c r="BH13" i="29" s="1"/>
  <c r="AQ13" i="29"/>
  <c r="AG13" i="29"/>
  <c r="U13" i="29"/>
  <c r="AN13" i="29" s="1"/>
  <c r="R13" i="29"/>
  <c r="S13" i="29" s="1"/>
  <c r="P13" i="29"/>
  <c r="BA13" i="29" s="1"/>
  <c r="O13" i="29"/>
  <c r="N13" i="29"/>
  <c r="M13" i="29"/>
  <c r="L13" i="29"/>
  <c r="K13" i="29"/>
  <c r="J13" i="29"/>
  <c r="A13" i="29"/>
  <c r="BG12" i="29"/>
  <c r="BH12" i="29" s="1"/>
  <c r="M12" i="29"/>
  <c r="AD12" i="29" s="1"/>
  <c r="AE12" i="29" s="1"/>
  <c r="AP12" i="29" s="1"/>
  <c r="AQ12" i="29"/>
  <c r="AG12" i="29"/>
  <c r="U12" i="29"/>
  <c r="AN12" i="29" s="1"/>
  <c r="R12" i="29"/>
  <c r="S12" i="29" s="1"/>
  <c r="P12" i="29"/>
  <c r="O12" i="29"/>
  <c r="N12" i="29"/>
  <c r="L12" i="29"/>
  <c r="K12" i="29"/>
  <c r="J12" i="29"/>
  <c r="A12" i="29"/>
  <c r="BG11" i="29"/>
  <c r="BH11" i="29" s="1"/>
  <c r="M11" i="29"/>
  <c r="AD11" i="29" s="1"/>
  <c r="AQ11" i="29"/>
  <c r="AN11" i="29"/>
  <c r="AG11" i="29"/>
  <c r="R11" i="29"/>
  <c r="AZ4" i="29" s="1"/>
  <c r="P11" i="29"/>
  <c r="O11" i="29"/>
  <c r="N11" i="29"/>
  <c r="L11" i="29"/>
  <c r="K11" i="29"/>
  <c r="J11" i="29"/>
  <c r="A11" i="29"/>
  <c r="AL7" i="29"/>
  <c r="W2" i="29"/>
  <c r="N1" i="29"/>
  <c r="I103" i="30" a="1"/>
  <c r="D39" i="30" a="1"/>
  <c r="H214" i="30" a="1"/>
  <c r="H241" i="30" a="1"/>
  <c r="E117" i="30" a="1"/>
  <c r="I49" i="30" a="1"/>
  <c r="H260" i="30" a="1"/>
  <c r="I155" i="30" a="1"/>
  <c r="F178" i="30" a="1"/>
  <c r="H56" i="30" a="1"/>
  <c r="I75" i="30" a="1"/>
  <c r="F152" i="30" a="1"/>
  <c r="H2" i="30" a="1"/>
  <c r="I21" i="30" a="1"/>
  <c r="I197" i="30" a="1"/>
  <c r="E91" i="30" a="1"/>
  <c r="H37" i="30" a="1"/>
  <c r="E239" i="30" a="1"/>
  <c r="D238" i="30" a="1"/>
  <c r="H185" i="30" a="1"/>
  <c r="H269" i="30" a="1"/>
  <c r="H138" i="30" a="1"/>
  <c r="D50" i="30" a="1"/>
  <c r="F84" i="30" a="1"/>
  <c r="H227" i="30" a="1"/>
  <c r="H246" i="30" a="1"/>
  <c r="H178" i="30" a="1"/>
  <c r="H105" i="30" a="1"/>
  <c r="F124" i="30" a="1"/>
  <c r="D246" i="30" a="1"/>
  <c r="D211" i="30" a="1"/>
  <c r="C269" i="30" a="1"/>
  <c r="G193" i="30" a="1"/>
  <c r="E23" i="30" a="1"/>
  <c r="D133" i="30" a="1"/>
  <c r="H187" i="30" a="1"/>
  <c r="H79" i="30" a="1"/>
  <c r="C255" i="30" a="1"/>
  <c r="H91" i="30" a="1"/>
  <c r="D90" i="30" a="1"/>
  <c r="D11" i="30" a="1"/>
  <c r="D147" i="30" a="1"/>
  <c r="H107" i="30" a="1"/>
  <c r="I211" i="30" a="1"/>
  <c r="F260" i="30" a="1"/>
  <c r="D53" i="30" a="1"/>
  <c r="H77" i="30" a="1"/>
  <c r="H159" i="30" a="1"/>
  <c r="D35" i="30" a="1"/>
  <c r="C65" i="30" a="1"/>
  <c r="G261" i="30" a="1"/>
  <c r="E51" i="30" a="1"/>
  <c r="M255" i="30" a="1"/>
  <c r="G219" i="30" a="1"/>
  <c r="D104" i="30" a="1"/>
  <c r="E77" i="30" a="1"/>
  <c r="D24" i="30" a="1"/>
  <c r="H161" i="30" a="1"/>
  <c r="H199" i="30" a="1"/>
  <c r="I143" i="30" a="1"/>
  <c r="C187" i="30" a="1"/>
  <c r="E267" i="30" a="1"/>
  <c r="G71" i="30" a="1"/>
  <c r="D144" i="30" a="1"/>
  <c r="H98" i="30" a="1"/>
  <c r="D22" i="30" a="1"/>
  <c r="H131" i="30" a="1"/>
  <c r="H226" i="30" a="1"/>
  <c r="H92" i="30" a="1"/>
  <c r="C79" i="30" a="1"/>
  <c r="H239" i="30" a="1"/>
  <c r="H192" i="30" a="1"/>
  <c r="D25" i="30" a="1"/>
  <c r="D260" i="30" a="1"/>
  <c r="D152" i="30" a="1"/>
  <c r="D178" i="30" a="1"/>
  <c r="D52" i="30" a="1"/>
  <c r="H173" i="30" a="1"/>
  <c r="H200" i="30" a="1"/>
  <c r="D10" i="30" a="1"/>
  <c r="D143" i="30" a="1"/>
  <c r="E9" i="30" a="1"/>
  <c r="D107" i="30" a="1"/>
  <c r="H63" i="30" a="1"/>
  <c r="E185" i="30" a="1"/>
  <c r="C25" i="30" a="1"/>
  <c r="I183" i="30" a="1"/>
  <c r="I89" i="30" a="1"/>
  <c r="H132" i="30" a="1"/>
  <c r="D2" i="30" a="1"/>
  <c r="D61" i="30" a="1"/>
  <c r="D266" i="30" a="1"/>
  <c r="M39" i="30" a="1"/>
  <c r="G139" i="30" a="1"/>
  <c r="M161" i="30" a="1"/>
  <c r="H240" i="30" a="1"/>
  <c r="H78" i="30" a="1"/>
  <c r="D44" i="30" a="1"/>
  <c r="H25" i="30" a="1"/>
  <c r="D130" i="30" a="1"/>
  <c r="M119" i="30" a="1"/>
  <c r="E145" i="30" a="1"/>
  <c r="I157" i="30" a="1"/>
  <c r="C215" i="30" a="1"/>
  <c r="D75" i="30" a="1"/>
  <c r="H64" i="30" a="1"/>
  <c r="M93" i="30" a="1"/>
  <c r="D161" i="30" a="1"/>
  <c r="H147" i="30" a="1"/>
  <c r="D49" i="30" a="1"/>
  <c r="M215" i="30" a="1"/>
  <c r="E213" i="30" a="1"/>
  <c r="D16" i="30" a="1"/>
  <c r="D197" i="30" a="1"/>
  <c r="I251" i="30" a="1"/>
  <c r="D173" i="30" a="1"/>
  <c r="H254" i="30" a="1"/>
  <c r="G179" i="30" a="1"/>
  <c r="D8" i="30" a="1"/>
  <c r="D138" i="30" a="1"/>
  <c r="H23" i="30" a="1"/>
  <c r="F164" i="30" a="1"/>
  <c r="H11" i="30" a="1"/>
  <c r="H51" i="30" a="1"/>
  <c r="D56" i="30" a="1"/>
  <c r="I235" i="30" a="1"/>
  <c r="H53" i="30" a="1"/>
  <c r="D21" i="30" a="1"/>
  <c r="D146" i="30" a="1"/>
  <c r="H267" i="30" a="1"/>
  <c r="H218" i="30" a="1"/>
  <c r="D200" i="30" a="1"/>
  <c r="I223" i="30" a="1"/>
  <c r="C241" i="30" a="1"/>
  <c r="F16" i="30" a="1"/>
  <c r="D169" i="30" a="1"/>
  <c r="D89" i="30" a="1"/>
  <c r="D158" i="30" a="1"/>
  <c r="C173" i="30" a="1"/>
  <c r="D254" i="30" a="1"/>
  <c r="D7" i="30" a="1"/>
  <c r="F98" i="30" a="1"/>
  <c r="I237" i="30" a="1"/>
  <c r="F110" i="30" a="1"/>
  <c r="D269" i="30" a="1"/>
  <c r="F218" i="30" a="1"/>
  <c r="E225" i="30" a="1"/>
  <c r="E171" i="30" a="1"/>
  <c r="D70" i="30" a="1"/>
  <c r="D187" i="30" a="1"/>
  <c r="G111" i="30" a="1"/>
  <c r="D215" i="30" a="1"/>
  <c r="I263" i="30" a="1"/>
  <c r="M241" i="30" a="1"/>
  <c r="E253" i="30" a="1"/>
  <c r="M201" i="30" a="1"/>
  <c r="D84" i="30" a="1"/>
  <c r="E131" i="30" a="1"/>
  <c r="I249" i="30" a="1"/>
  <c r="D218" i="30" a="1"/>
  <c r="D119" i="30" a="1"/>
  <c r="I115" i="30" a="1"/>
  <c r="D115" i="30" a="1"/>
  <c r="F138" i="30" a="1"/>
  <c r="D118" i="30" a="1"/>
  <c r="G207" i="30" a="1"/>
  <c r="M65" i="30" a="1"/>
  <c r="D183" i="30" a="1"/>
  <c r="G165" i="30" a="1"/>
  <c r="I7" i="30" a="1"/>
  <c r="D79" i="30" a="1"/>
  <c r="G85" i="30" a="1"/>
  <c r="F56" i="30" a="1"/>
  <c r="H133" i="30" a="1"/>
  <c r="D129" i="30" a="1"/>
  <c r="D160" i="30" a="1"/>
  <c r="D65" i="30" a="1"/>
  <c r="M25" i="30" a="1"/>
  <c r="H117" i="30" a="1"/>
  <c r="D224" i="30" a="1"/>
  <c r="H93" i="30" a="1"/>
  <c r="I167" i="30" a="1"/>
  <c r="M187" i="30" a="1"/>
  <c r="D116" i="30" a="1"/>
  <c r="I35" i="30" a="1"/>
  <c r="G31" i="30" a="1"/>
  <c r="D172" i="30" a="1"/>
  <c r="D198" i="30" a="1"/>
  <c r="C201" i="30" a="1"/>
  <c r="H124" i="30" a="1"/>
  <c r="H186" i="30" a="1"/>
  <c r="F232" i="30" a="1"/>
  <c r="H145" i="30" a="1"/>
  <c r="D201" i="30" a="1"/>
  <c r="H164" i="30" a="1"/>
  <c r="H65" i="30" a="1"/>
  <c r="E37" i="30" a="1"/>
  <c r="C11" i="30" a="1"/>
  <c r="D64" i="30" a="1"/>
  <c r="D268" i="30" a="1"/>
  <c r="H24" i="30" a="1"/>
  <c r="D62" i="30" a="1"/>
  <c r="E105" i="30" a="1"/>
  <c r="D226" i="30" a="1"/>
  <c r="M79" i="30" a="1"/>
  <c r="H152" i="30" a="1"/>
  <c r="D192" i="30" a="1"/>
  <c r="I141" i="30" a="1"/>
  <c r="G247" i="30" a="1"/>
  <c r="C107" i="30" a="1"/>
  <c r="I169" i="30" a="1"/>
  <c r="F2" i="30" a="1"/>
  <c r="D164" i="30" a="1"/>
  <c r="H253" i="30" a="1"/>
  <c r="C119" i="30" a="1"/>
  <c r="D232" i="30" a="1"/>
  <c r="H160" i="30" a="1"/>
  <c r="F44" i="30" a="1"/>
  <c r="D103" i="30" a="1"/>
  <c r="D76" i="30" a="1"/>
  <c r="G17" i="30" a="1"/>
  <c r="I209" i="30" a="1"/>
  <c r="D212" i="30" a="1"/>
  <c r="H16" i="30" a="1"/>
  <c r="M133" i="30" a="1"/>
  <c r="C39" i="30" a="1"/>
  <c r="G99" i="30" a="1"/>
  <c r="D265" i="30" a="1"/>
  <c r="M11" i="30" a="1"/>
  <c r="H255" i="30" a="1"/>
  <c r="G233" i="30" a="1"/>
  <c r="I195" i="30" a="1"/>
  <c r="M147" i="30" a="1"/>
  <c r="D255" i="30" a="1"/>
  <c r="I265" i="30" a="1"/>
  <c r="H44" i="30" a="1"/>
  <c r="D214" i="30" a="1"/>
  <c r="D186" i="30" a="1"/>
  <c r="D106" i="30" a="1"/>
  <c r="I129" i="30" a="1"/>
  <c r="D38" i="30" a="1"/>
  <c r="H213" i="30" a="1"/>
  <c r="H9" i="30" a="1"/>
  <c r="H39" i="30" a="1"/>
  <c r="D98" i="30" a="1"/>
  <c r="D132" i="30" a="1"/>
  <c r="H30" i="30" a="1"/>
  <c r="D237" i="30" a="1"/>
  <c r="G125" i="30" a="1"/>
  <c r="E199" i="30" a="1"/>
  <c r="D157" i="30" a="1"/>
  <c r="G3" i="30" a="1"/>
  <c r="E63" i="30" a="1"/>
  <c r="H106" i="30" a="1"/>
  <c r="H172" i="30" a="1"/>
  <c r="C53" i="30" a="1"/>
  <c r="D170" i="30" a="1"/>
  <c r="M227" i="30" a="1"/>
  <c r="I221" i="30" a="1"/>
  <c r="D251" i="30" a="1"/>
  <c r="M107" i="30" a="1"/>
  <c r="D124" i="30" a="1"/>
  <c r="I61" i="30" a="1"/>
  <c r="G45" i="30" a="1"/>
  <c r="D184" i="30" a="1"/>
  <c r="C133" i="30" a="1"/>
  <c r="H110" i="30" a="1"/>
  <c r="H52" i="30" a="1"/>
  <c r="D93" i="30" a="1"/>
  <c r="F30" i="30" a="1"/>
  <c r="D227" i="30" a="1"/>
  <c r="M173" i="30" a="1"/>
  <c r="H118" i="30" a="1"/>
  <c r="F206" i="30" a="1"/>
  <c r="D30" i="30" a="1"/>
  <c r="D223" i="30" a="1"/>
  <c r="E159" i="30" a="1"/>
  <c r="H225" i="30" a="1"/>
  <c r="I181" i="30" a="1"/>
  <c r="C93" i="30" a="1"/>
  <c r="H232" i="30" a="1"/>
  <c r="H171" i="30" a="1"/>
  <c r="D110" i="30" a="1"/>
  <c r="D241" i="30" a="1"/>
  <c r="D78" i="30" a="1"/>
  <c r="H268" i="30" a="1"/>
  <c r="H201" i="30" a="1"/>
  <c r="H119" i="30" a="1"/>
  <c r="H38" i="30" a="1"/>
  <c r="H70" i="30" a="1"/>
  <c r="C147" i="30" a="1"/>
  <c r="D252" i="30" a="1"/>
  <c r="F192" i="30" a="1"/>
  <c r="D240" i="30" a="1"/>
  <c r="D206" i="30" a="1"/>
  <c r="M53" i="30" a="1"/>
  <c r="C227" i="30" a="1"/>
  <c r="M269" i="30" a="1"/>
  <c r="H84" i="30" a="1"/>
  <c r="D92" i="30" a="1"/>
  <c r="G153" i="30" a="1"/>
  <c r="H215" i="30" a="1"/>
  <c r="F246" i="30" a="1"/>
  <c r="H146" i="30" a="1"/>
  <c r="G57" i="30" a="1"/>
  <c r="D36" i="30" a="1"/>
  <c r="F70" i="30" a="1"/>
  <c r="H206" i="30" a="1"/>
  <c r="C161" i="30" a="1"/>
  <c r="H10" i="30" a="1"/>
  <c r="BB18" i="29" l="1"/>
  <c r="Q18" i="29" s="1"/>
  <c r="BB19" i="29"/>
  <c r="Q19" i="29" s="1"/>
  <c r="BB20" i="29"/>
  <c r="Q20" i="29"/>
  <c r="BB17" i="29"/>
  <c r="Q17" i="29" s="1"/>
  <c r="AD16" i="29"/>
  <c r="AE16" i="29" s="1"/>
  <c r="AP16" i="29" s="1"/>
  <c r="Q16" i="29"/>
  <c r="Q16" i="33" s="1"/>
  <c r="BB16" i="29"/>
  <c r="BD15" i="29"/>
  <c r="BB15" i="29"/>
  <c r="Q15" i="29" s="1"/>
  <c r="AD15" i="29"/>
  <c r="AE15" i="29" s="1"/>
  <c r="AP15" i="29" s="1"/>
  <c r="BD14" i="29"/>
  <c r="BB14" i="29"/>
  <c r="Q14" i="29"/>
  <c r="AD13" i="29"/>
  <c r="AE13" i="29" s="1"/>
  <c r="AP13" i="29" s="1"/>
  <c r="BB13" i="29"/>
  <c r="Q13" i="29" s="1"/>
  <c r="AE11" i="29"/>
  <c r="AP11" i="29" s="1"/>
  <c r="BI12" i="29"/>
  <c r="BI28" i="29"/>
  <c r="AC28" i="29" s="1"/>
  <c r="AO28" i="29" s="1"/>
  <c r="BD25" i="29"/>
  <c r="AB25" i="29" s="1"/>
  <c r="AM25" i="29" s="1"/>
  <c r="BI26" i="29"/>
  <c r="AC26" i="29" s="1"/>
  <c r="AO26" i="29" s="1"/>
  <c r="D25" i="30"/>
  <c r="E171" i="30"/>
  <c r="H24" i="30"/>
  <c r="I167" i="30"/>
  <c r="H227" i="30"/>
  <c r="H240" i="30"/>
  <c r="M119" i="30"/>
  <c r="D98" i="30"/>
  <c r="D103" i="30"/>
  <c r="M103" i="30" s="1"/>
  <c r="H260" i="30"/>
  <c r="M39" i="30"/>
  <c r="C65" i="30"/>
  <c r="F110" i="30"/>
  <c r="D89" i="30"/>
  <c r="M89" i="30" s="1"/>
  <c r="H246" i="30"/>
  <c r="F192" i="30"/>
  <c r="D10" i="30"/>
  <c r="M10" i="30" s="1"/>
  <c r="F16" i="30"/>
  <c r="C147" i="30"/>
  <c r="E213" i="30"/>
  <c r="H25" i="30"/>
  <c r="F206" i="30"/>
  <c r="H268" i="30"/>
  <c r="D246" i="30"/>
  <c r="E159" i="30"/>
  <c r="I209" i="30"/>
  <c r="D206" i="30"/>
  <c r="D224" i="30"/>
  <c r="M224" i="30" s="1"/>
  <c r="H16" i="30"/>
  <c r="H214" i="30"/>
  <c r="D92" i="30"/>
  <c r="M92" i="30" s="1"/>
  <c r="H79" i="30"/>
  <c r="H37" i="30"/>
  <c r="M241" i="30"/>
  <c r="G179" i="30"/>
  <c r="P179" i="30" s="1"/>
  <c r="D49" i="30"/>
  <c r="M49" i="30" s="1"/>
  <c r="H118" i="30"/>
  <c r="E145" i="30"/>
  <c r="D197" i="30"/>
  <c r="M197" i="30" s="1"/>
  <c r="G165" i="30"/>
  <c r="P165" i="30" s="1"/>
  <c r="F218" i="30"/>
  <c r="H225" i="30"/>
  <c r="D44" i="30"/>
  <c r="H171" i="30"/>
  <c r="H152" i="30"/>
  <c r="D232" i="30"/>
  <c r="G17" i="30"/>
  <c r="P17" i="30" s="1"/>
  <c r="D252" i="30"/>
  <c r="M252" i="30" s="1"/>
  <c r="M187" i="30"/>
  <c r="F84" i="30"/>
  <c r="D201" i="30"/>
  <c r="D194" i="30" s="1" a="1"/>
  <c r="M201" i="30"/>
  <c r="C269" i="30"/>
  <c r="H178" i="30"/>
  <c r="H38" i="30"/>
  <c r="F260" i="30"/>
  <c r="D132" i="30"/>
  <c r="M132" i="30" s="1"/>
  <c r="G193" i="30"/>
  <c r="P193" i="30" s="1"/>
  <c r="D138" i="30"/>
  <c r="H63" i="30"/>
  <c r="H133" i="30"/>
  <c r="H267" i="30"/>
  <c r="G207" i="30"/>
  <c r="P207" i="30" s="1"/>
  <c r="H131" i="30"/>
  <c r="C133" i="30"/>
  <c r="E51" i="30"/>
  <c r="G153" i="30"/>
  <c r="P153" i="30" s="1"/>
  <c r="H105" i="30"/>
  <c r="H51" i="30"/>
  <c r="C241" i="30"/>
  <c r="D115" i="30"/>
  <c r="M115" i="30" s="1"/>
  <c r="C79" i="30"/>
  <c r="M161" i="30"/>
  <c r="I155" i="30"/>
  <c r="H192" i="30"/>
  <c r="E199" i="30"/>
  <c r="H124" i="30"/>
  <c r="H161" i="30"/>
  <c r="H232" i="30"/>
  <c r="H218" i="30"/>
  <c r="H70" i="30"/>
  <c r="E239" i="30"/>
  <c r="H39" i="30"/>
  <c r="H145" i="30"/>
  <c r="E117" i="30"/>
  <c r="D255" i="30"/>
  <c r="D248" i="30" s="1" a="1"/>
  <c r="D157" i="30"/>
  <c r="M157" i="30" s="1"/>
  <c r="F124" i="30"/>
  <c r="H44" i="30"/>
  <c r="D24" i="30"/>
  <c r="M24" i="30" s="1"/>
  <c r="D53" i="30"/>
  <c r="F30" i="30"/>
  <c r="D164" i="30"/>
  <c r="D266" i="30"/>
  <c r="M266" i="30" s="1"/>
  <c r="G139" i="30"/>
  <c r="P139" i="30" s="1"/>
  <c r="D187" i="30"/>
  <c r="D180" i="30" s="1" a="1"/>
  <c r="C25" i="30"/>
  <c r="D118" i="30"/>
  <c r="M118" i="30" s="1"/>
  <c r="E225" i="30"/>
  <c r="H64" i="30"/>
  <c r="M173" i="30"/>
  <c r="D238" i="30"/>
  <c r="M238" i="30" s="1"/>
  <c r="C227" i="30"/>
  <c r="H52" i="30"/>
  <c r="D52" i="30"/>
  <c r="M52" i="30" s="1"/>
  <c r="M65" i="30"/>
  <c r="H206" i="30"/>
  <c r="D170" i="30"/>
  <c r="M170" i="30" s="1"/>
  <c r="G99" i="30"/>
  <c r="P99" i="30" s="1"/>
  <c r="C93" i="30"/>
  <c r="D200" i="30"/>
  <c r="M200" i="30" s="1"/>
  <c r="D147" i="30"/>
  <c r="D140" i="30" s="1" a="1"/>
  <c r="H23" i="30"/>
  <c r="G219" i="30"/>
  <c r="P219" i="30" s="1"/>
  <c r="C161" i="30"/>
  <c r="I195" i="30"/>
  <c r="H138" i="30"/>
  <c r="D124" i="30"/>
  <c r="D56" i="30"/>
  <c r="H107" i="30"/>
  <c r="D186" i="30"/>
  <c r="M186" i="30" s="1"/>
  <c r="D178" i="30"/>
  <c r="D218" i="30"/>
  <c r="H11" i="30"/>
  <c r="C255" i="30"/>
  <c r="E9" i="30"/>
  <c r="M255" i="30"/>
  <c r="H65" i="30"/>
  <c r="G247" i="30"/>
  <c r="P247" i="30" s="1"/>
  <c r="F70" i="30"/>
  <c r="D161" i="30"/>
  <c r="D154" i="30" s="1" a="1"/>
  <c r="H159" i="30"/>
  <c r="E63" i="30"/>
  <c r="H132" i="30"/>
  <c r="G31" i="30"/>
  <c r="P31" i="30" s="1"/>
  <c r="D227" i="30"/>
  <c r="D220" i="30" s="1" a="1"/>
  <c r="D16" i="30"/>
  <c r="F44" i="30"/>
  <c r="H92" i="30"/>
  <c r="D214" i="30"/>
  <c r="M214" i="30" s="1"/>
  <c r="H84" i="30"/>
  <c r="M133" i="30"/>
  <c r="G125" i="30"/>
  <c r="P125" i="30" s="1"/>
  <c r="E91" i="30"/>
  <c r="D64" i="30"/>
  <c r="M64" i="30" s="1"/>
  <c r="D65" i="30"/>
  <c r="H253" i="30"/>
  <c r="C107" i="30"/>
  <c r="H78" i="30"/>
  <c r="D22" i="30"/>
  <c r="M22" i="30" s="1"/>
  <c r="E23" i="30"/>
  <c r="D211" i="30"/>
  <c r="M211" i="30" s="1"/>
  <c r="C39" i="30"/>
  <c r="H254" i="30"/>
  <c r="E131" i="30"/>
  <c r="F246" i="30"/>
  <c r="D269" i="30"/>
  <c r="D262" i="30" s="1" a="1"/>
  <c r="D106" i="30"/>
  <c r="M106" i="30" s="1"/>
  <c r="C201" i="30"/>
  <c r="C53" i="30"/>
  <c r="G111" i="30"/>
  <c r="P111" i="30" s="1"/>
  <c r="H77" i="30"/>
  <c r="G233" i="30"/>
  <c r="P233" i="30" s="1"/>
  <c r="M25" i="30"/>
  <c r="H215" i="30"/>
  <c r="D104" i="30"/>
  <c r="M104" i="30" s="1"/>
  <c r="H146" i="30"/>
  <c r="D30" i="30"/>
  <c r="E77" i="30"/>
  <c r="I181" i="30"/>
  <c r="G71" i="30"/>
  <c r="P71" i="30" s="1"/>
  <c r="C173" i="30"/>
  <c r="H239" i="30"/>
  <c r="D184" i="30"/>
  <c r="M184" i="30" s="1"/>
  <c r="D130" i="30"/>
  <c r="M130" i="30" s="1"/>
  <c r="H187" i="30"/>
  <c r="F56" i="30"/>
  <c r="G3" i="30"/>
  <c r="P3" i="30" s="1"/>
  <c r="D50" i="30"/>
  <c r="M50" i="30" s="1"/>
  <c r="H110" i="30"/>
  <c r="M147" i="30"/>
  <c r="D116" i="30"/>
  <c r="M116" i="30" s="1"/>
  <c r="M107" i="30"/>
  <c r="D146" i="30"/>
  <c r="M146" i="30" s="1"/>
  <c r="H164" i="30"/>
  <c r="D79" i="30"/>
  <c r="D11" i="30"/>
  <c r="H160" i="30"/>
  <c r="D119" i="30"/>
  <c r="D144" i="30"/>
  <c r="M144" i="30" s="1"/>
  <c r="D129" i="30"/>
  <c r="M129" i="30" s="1"/>
  <c r="D173" i="30"/>
  <c r="D166" i="30" s="1" a="1"/>
  <c r="D240" i="30"/>
  <c r="M240" i="30" s="1"/>
  <c r="E185" i="30"/>
  <c r="D223" i="30"/>
  <c r="M223" i="30" s="1"/>
  <c r="G261" i="30"/>
  <c r="P261" i="30" s="1"/>
  <c r="H241" i="30"/>
  <c r="E267" i="30"/>
  <c r="H119" i="30"/>
  <c r="E37" i="30"/>
  <c r="H255" i="30"/>
  <c r="I263" i="30"/>
  <c r="H201" i="30"/>
  <c r="D107" i="30"/>
  <c r="M227" i="30"/>
  <c r="F232" i="30"/>
  <c r="D152" i="30"/>
  <c r="D237" i="30"/>
  <c r="M237" i="30" s="1"/>
  <c r="D192" i="30"/>
  <c r="D143" i="30"/>
  <c r="M143" i="30" s="1"/>
  <c r="D93" i="30"/>
  <c r="M215" i="30"/>
  <c r="H185" i="30"/>
  <c r="C119" i="30"/>
  <c r="D133" i="30"/>
  <c r="H117" i="30"/>
  <c r="H213" i="30"/>
  <c r="M11" i="30"/>
  <c r="D21" i="30"/>
  <c r="M21" i="30" s="1"/>
  <c r="D84" i="30"/>
  <c r="H98" i="30"/>
  <c r="D70" i="30"/>
  <c r="D39" i="30"/>
  <c r="I235" i="30"/>
  <c r="D260" i="30"/>
  <c r="D38" i="30"/>
  <c r="M38" i="30" s="1"/>
  <c r="H269" i="30"/>
  <c r="G45" i="30"/>
  <c r="P45" i="30" s="1"/>
  <c r="H199" i="30"/>
  <c r="E105" i="30"/>
  <c r="D215" i="30"/>
  <c r="D208" i="30" s="1" a="1"/>
  <c r="G85" i="30"/>
  <c r="P85" i="30" s="1"/>
  <c r="D268" i="30"/>
  <c r="M268" i="30" s="1"/>
  <c r="D35" i="30"/>
  <c r="M35" i="30" s="1"/>
  <c r="H172" i="30"/>
  <c r="M93" i="30"/>
  <c r="I249" i="30"/>
  <c r="H173" i="30"/>
  <c r="D8" i="30"/>
  <c r="M8" i="30" s="1"/>
  <c r="D110" i="30"/>
  <c r="H226" i="30"/>
  <c r="D254" i="30"/>
  <c r="M254" i="30" s="1"/>
  <c r="F98" i="30"/>
  <c r="F164" i="30"/>
  <c r="D78" i="30"/>
  <c r="M78" i="30" s="1"/>
  <c r="H91" i="30"/>
  <c r="D251" i="30"/>
  <c r="M251" i="30" s="1"/>
  <c r="D36" i="30"/>
  <c r="M36" i="30" s="1"/>
  <c r="D226" i="30"/>
  <c r="M226" i="30" s="1"/>
  <c r="D172" i="30"/>
  <c r="M172" i="30" s="1"/>
  <c r="D61" i="30"/>
  <c r="M61" i="30" s="1"/>
  <c r="E253" i="30"/>
  <c r="C215" i="30"/>
  <c r="D265" i="30"/>
  <c r="M265" i="30" s="1"/>
  <c r="H93" i="30"/>
  <c r="D7" i="30"/>
  <c r="M7" i="30" s="1"/>
  <c r="I221" i="30"/>
  <c r="D160" i="30"/>
  <c r="M160" i="30" s="1"/>
  <c r="H200" i="30"/>
  <c r="H106" i="30"/>
  <c r="I141" i="30"/>
  <c r="M269" i="30"/>
  <c r="F138" i="30"/>
  <c r="D169" i="30"/>
  <c r="M169" i="30" s="1"/>
  <c r="H30" i="30"/>
  <c r="M79" i="30"/>
  <c r="D76" i="30"/>
  <c r="M76" i="30" s="1"/>
  <c r="F152" i="30"/>
  <c r="H147" i="30"/>
  <c r="D198" i="30"/>
  <c r="M198" i="30" s="1"/>
  <c r="D62" i="30"/>
  <c r="M62" i="30" s="1"/>
  <c r="D241" i="30"/>
  <c r="D234" i="30" s="1" a="1"/>
  <c r="C187" i="30"/>
  <c r="F178" i="30"/>
  <c r="D183" i="30"/>
  <c r="M183" i="30" s="1"/>
  <c r="M53" i="30"/>
  <c r="H53" i="30"/>
  <c r="D90" i="30"/>
  <c r="M90" i="30" s="1"/>
  <c r="D75" i="30"/>
  <c r="M75" i="30" s="1"/>
  <c r="G57" i="30"/>
  <c r="P57" i="30" s="1"/>
  <c r="D158" i="30"/>
  <c r="M158" i="30" s="1"/>
  <c r="H56" i="30"/>
  <c r="H186" i="30"/>
  <c r="D212" i="30"/>
  <c r="M212" i="30" s="1"/>
  <c r="M191" i="30"/>
  <c r="D205" i="30"/>
  <c r="M217" i="30"/>
  <c r="D231" i="30"/>
  <c r="M151" i="30"/>
  <c r="D163" i="30"/>
  <c r="X37" i="31"/>
  <c r="I75" i="30"/>
  <c r="I211" i="30"/>
  <c r="I7" i="30"/>
  <c r="I49" i="30"/>
  <c r="I103" i="30"/>
  <c r="I157" i="30"/>
  <c r="I169" i="30"/>
  <c r="I237" i="30"/>
  <c r="I21" i="30"/>
  <c r="I129" i="30"/>
  <c r="I265" i="30"/>
  <c r="I61" i="30"/>
  <c r="I115" i="30"/>
  <c r="I183" i="30"/>
  <c r="I251" i="30"/>
  <c r="I197" i="30"/>
  <c r="I35" i="30"/>
  <c r="I89" i="30"/>
  <c r="I143" i="30"/>
  <c r="I223" i="30"/>
  <c r="C11" i="30"/>
  <c r="S11" i="29"/>
  <c r="S11" i="33" s="1"/>
  <c r="H9" i="30"/>
  <c r="H2" i="30"/>
  <c r="D2" i="30"/>
  <c r="F2" i="30"/>
  <c r="H10" i="30"/>
  <c r="BA11" i="29"/>
  <c r="BB11" i="29" s="1"/>
  <c r="U17" i="33"/>
  <c r="BI23" i="29"/>
  <c r="AC23" i="29" s="1"/>
  <c r="AO23" i="29" s="1"/>
  <c r="M15" i="30"/>
  <c r="D29" i="30"/>
  <c r="M43" i="30"/>
  <c r="D55" i="30"/>
  <c r="BA12" i="29"/>
  <c r="AA12" i="29" s="1"/>
  <c r="BD11" i="29"/>
  <c r="I55" i="30"/>
  <c r="I69" i="30"/>
  <c r="R4" i="32"/>
  <c r="AL25" i="29"/>
  <c r="BI22" i="29"/>
  <c r="AC22" i="29" s="1"/>
  <c r="AO22" i="29" s="1"/>
  <c r="BI27" i="29"/>
  <c r="AC27" i="29" s="1"/>
  <c r="AO27" i="29" s="1"/>
  <c r="BD29" i="29"/>
  <c r="AB29" i="29" s="1"/>
  <c r="AM29" i="29" s="1"/>
  <c r="AL29" i="29"/>
  <c r="AR29" i="29" s="1"/>
  <c r="L11" i="31"/>
  <c r="L30" i="31"/>
  <c r="L12" i="32"/>
  <c r="L21" i="32"/>
  <c r="L24" i="32"/>
  <c r="L28" i="32"/>
  <c r="N28" i="32"/>
  <c r="U15" i="33"/>
  <c r="L17" i="33"/>
  <c r="U23" i="33"/>
  <c r="X37" i="33"/>
  <c r="L28" i="31"/>
  <c r="N28" i="31"/>
  <c r="AM22" i="29"/>
  <c r="BF24" i="29"/>
  <c r="BE24" i="29" s="1"/>
  <c r="BF26" i="29"/>
  <c r="BE26" i="29" s="1"/>
  <c r="BF28" i="29"/>
  <c r="BE28" i="29" s="1"/>
  <c r="BC30" i="29"/>
  <c r="BF25" i="29"/>
  <c r="BE25" i="29" s="1"/>
  <c r="AM26" i="29"/>
  <c r="BF29" i="29"/>
  <c r="BE29" i="29" s="1"/>
  <c r="M69" i="30"/>
  <c r="M1" i="30"/>
  <c r="D15" i="30"/>
  <c r="D191" i="30"/>
  <c r="M259" i="30"/>
  <c r="M97" i="30"/>
  <c r="D109" i="30"/>
  <c r="D123" i="30"/>
  <c r="I1" i="30"/>
  <c r="L26" i="31"/>
  <c r="N26" i="31"/>
  <c r="U23" i="32"/>
  <c r="U26" i="32"/>
  <c r="U27" i="32"/>
  <c r="L24" i="31"/>
  <c r="N24" i="31"/>
  <c r="U30" i="32"/>
  <c r="I83" i="30"/>
  <c r="I259" i="30"/>
  <c r="R109" i="30"/>
  <c r="I151" i="30"/>
  <c r="R231" i="30"/>
  <c r="I205" i="30"/>
  <c r="R29" i="30"/>
  <c r="R123" i="30"/>
  <c r="R177" i="30"/>
  <c r="L23" i="31"/>
  <c r="N23" i="31"/>
  <c r="U24" i="31"/>
  <c r="L25" i="31"/>
  <c r="N25" i="31"/>
  <c r="U26" i="31"/>
  <c r="L27" i="31"/>
  <c r="N27" i="31"/>
  <c r="U28" i="31"/>
  <c r="L29" i="31"/>
  <c r="N29" i="31"/>
  <c r="U29" i="32"/>
  <c r="U16" i="33"/>
  <c r="U28" i="32"/>
  <c r="U12" i="32"/>
  <c r="U13" i="32"/>
  <c r="U16" i="32"/>
  <c r="L29" i="32"/>
  <c r="N29" i="32"/>
  <c r="U26" i="33"/>
  <c r="U30" i="33"/>
  <c r="U22" i="31"/>
  <c r="U14" i="32"/>
  <c r="BF22" i="29"/>
  <c r="BE22" i="29" s="1"/>
  <c r="L22" i="31"/>
  <c r="N22" i="31"/>
  <c r="U20" i="32"/>
  <c r="U21" i="32"/>
  <c r="U22" i="32"/>
  <c r="L12" i="33"/>
  <c r="BD19" i="29"/>
  <c r="N17" i="33"/>
  <c r="M83" i="30"/>
  <c r="D97" i="30"/>
  <c r="M123" i="30"/>
  <c r="M231" i="30"/>
  <c r="D1" i="30"/>
  <c r="M29" i="30"/>
  <c r="M55" i="30"/>
  <c r="D83" i="30"/>
  <c r="M109" i="30"/>
  <c r="D137" i="30"/>
  <c r="M163" i="30"/>
  <c r="D177" i="30"/>
  <c r="D245" i="30"/>
  <c r="W6" i="31"/>
  <c r="W4" i="32"/>
  <c r="AH4" i="29"/>
  <c r="D43" i="30"/>
  <c r="D69" i="30"/>
  <c r="M137" i="30"/>
  <c r="D151" i="30"/>
  <c r="M177" i="30"/>
  <c r="M205" i="30"/>
  <c r="D217" i="30"/>
  <c r="M245" i="30"/>
  <c r="D259" i="30"/>
  <c r="R4" i="33"/>
  <c r="R15" i="30"/>
  <c r="I43" i="30"/>
  <c r="R97" i="30"/>
  <c r="I137" i="30"/>
  <c r="R163" i="30"/>
  <c r="I191" i="30"/>
  <c r="R217" i="30"/>
  <c r="I245" i="30"/>
  <c r="R1" i="30"/>
  <c r="I29" i="30"/>
  <c r="R55" i="30"/>
  <c r="R69" i="30"/>
  <c r="R83" i="30"/>
  <c r="I109" i="30"/>
  <c r="I123" i="30"/>
  <c r="R151" i="30"/>
  <c r="I177" i="30"/>
  <c r="R205" i="30"/>
  <c r="I231" i="30"/>
  <c r="R259" i="30"/>
  <c r="Y1" i="31"/>
  <c r="I15" i="30"/>
  <c r="R43" i="30"/>
  <c r="I97" i="30"/>
  <c r="R137" i="30"/>
  <c r="I163" i="30"/>
  <c r="R191" i="30"/>
  <c r="I217" i="30"/>
  <c r="R245" i="30"/>
  <c r="Q6" i="32"/>
  <c r="N26" i="33"/>
  <c r="L13" i="31"/>
  <c r="N13" i="31"/>
  <c r="U14" i="31"/>
  <c r="L15" i="31"/>
  <c r="N15" i="31"/>
  <c r="U16" i="31"/>
  <c r="L17" i="31"/>
  <c r="N17" i="31"/>
  <c r="U18" i="31"/>
  <c r="L19" i="31"/>
  <c r="N19" i="31"/>
  <c r="L21" i="31"/>
  <c r="U30" i="31"/>
  <c r="U24" i="32"/>
  <c r="N26" i="32"/>
  <c r="N12" i="33"/>
  <c r="U19" i="33"/>
  <c r="L21" i="33"/>
  <c r="N21" i="33"/>
  <c r="U22" i="33"/>
  <c r="L24" i="33"/>
  <c r="N25" i="33"/>
  <c r="U27" i="33"/>
  <c r="L29" i="33"/>
  <c r="N30" i="33"/>
  <c r="N22" i="32"/>
  <c r="L26" i="32"/>
  <c r="L25" i="33"/>
  <c r="N27" i="33"/>
  <c r="L30" i="33"/>
  <c r="N21" i="32"/>
  <c r="N24" i="32"/>
  <c r="U25" i="32"/>
  <c r="L30" i="32"/>
  <c r="L23" i="33"/>
  <c r="N24" i="33"/>
  <c r="L28" i="33"/>
  <c r="N29" i="33"/>
  <c r="N22" i="33"/>
  <c r="L12" i="31"/>
  <c r="N12" i="31"/>
  <c r="L14" i="31"/>
  <c r="N14" i="31"/>
  <c r="L16" i="31"/>
  <c r="N16" i="31"/>
  <c r="L18" i="31"/>
  <c r="N18" i="31"/>
  <c r="L20" i="31"/>
  <c r="N20" i="31"/>
  <c r="U11" i="32"/>
  <c r="U17" i="32"/>
  <c r="L22" i="32"/>
  <c r="L25" i="32"/>
  <c r="N25" i="32"/>
  <c r="L27" i="32"/>
  <c r="N27" i="32"/>
  <c r="N30" i="32"/>
  <c r="L13" i="33"/>
  <c r="N13" i="33"/>
  <c r="U14" i="33"/>
  <c r="U20" i="33"/>
  <c r="L22" i="33"/>
  <c r="N23" i="33"/>
  <c r="L26" i="33"/>
  <c r="L27" i="33"/>
  <c r="N28" i="33"/>
  <c r="AQ31" i="29"/>
  <c r="AA17" i="29"/>
  <c r="AA13" i="29"/>
  <c r="AA15" i="29"/>
  <c r="BF15" i="29" s="1"/>
  <c r="BE15" i="29" s="1"/>
  <c r="AA16" i="29"/>
  <c r="AA19" i="29"/>
  <c r="BF19" i="29" s="1"/>
  <c r="BE19" i="29" s="1"/>
  <c r="AC19" i="29" s="1"/>
  <c r="AO19" i="29" s="1"/>
  <c r="BI18" i="29"/>
  <c r="BD21" i="29"/>
  <c r="L19" i="32"/>
  <c r="N11" i="33"/>
  <c r="N18" i="33"/>
  <c r="BD17" i="29"/>
  <c r="BI19" i="29"/>
  <c r="BH20" i="29"/>
  <c r="L15" i="32"/>
  <c r="L18" i="32"/>
  <c r="U11" i="33"/>
  <c r="U12" i="33"/>
  <c r="L16" i="33"/>
  <c r="U18" i="33"/>
  <c r="L20" i="33"/>
  <c r="BD13" i="29"/>
  <c r="BI15" i="29"/>
  <c r="N11" i="31"/>
  <c r="U12" i="31"/>
  <c r="U20" i="31"/>
  <c r="N21" i="31"/>
  <c r="L14" i="32"/>
  <c r="L17" i="32"/>
  <c r="N17" i="32"/>
  <c r="N18" i="32"/>
  <c r="U19" i="32"/>
  <c r="L14" i="33"/>
  <c r="L15" i="33"/>
  <c r="N16" i="33"/>
  <c r="L19" i="33"/>
  <c r="N20" i="33"/>
  <c r="BI14" i="29"/>
  <c r="BI16" i="29"/>
  <c r="L11" i="32"/>
  <c r="L13" i="32"/>
  <c r="N13" i="32"/>
  <c r="N14" i="32"/>
  <c r="U15" i="32"/>
  <c r="L16" i="32"/>
  <c r="K16" i="32"/>
  <c r="U18" i="32"/>
  <c r="L11" i="33"/>
  <c r="U13" i="33"/>
  <c r="N14" i="33"/>
  <c r="N15" i="33"/>
  <c r="L18" i="33"/>
  <c r="N19" i="33"/>
  <c r="U21" i="33"/>
  <c r="M20" i="33"/>
  <c r="M20" i="32"/>
  <c r="BD20" i="29"/>
  <c r="M20" i="31"/>
  <c r="M16" i="33"/>
  <c r="M16" i="32"/>
  <c r="M16" i="31"/>
  <c r="BD16" i="29"/>
  <c r="BI24" i="29"/>
  <c r="AC24" i="29" s="1"/>
  <c r="AO24" i="29" s="1"/>
  <c r="M24" i="33"/>
  <c r="M24" i="32"/>
  <c r="M24" i="31"/>
  <c r="BD24" i="29"/>
  <c r="AB24" i="29" s="1"/>
  <c r="AM24" i="29" s="1"/>
  <c r="W33" i="33"/>
  <c r="Z33" i="31"/>
  <c r="M12" i="33"/>
  <c r="M12" i="32"/>
  <c r="BD12" i="29"/>
  <c r="M12" i="31"/>
  <c r="BI20" i="29"/>
  <c r="M28" i="33"/>
  <c r="M28" i="32"/>
  <c r="BD28" i="29"/>
  <c r="AB28" i="29" s="1"/>
  <c r="AM28" i="29" s="1"/>
  <c r="M28" i="31"/>
  <c r="S13" i="33"/>
  <c r="S13" i="31"/>
  <c r="S13" i="32"/>
  <c r="BI13" i="29"/>
  <c r="S17" i="33"/>
  <c r="S17" i="31"/>
  <c r="S17" i="32"/>
  <c r="BI17" i="29"/>
  <c r="BI21" i="29"/>
  <c r="BI25" i="29"/>
  <c r="AC25" i="29" s="1"/>
  <c r="AO25" i="29" s="1"/>
  <c r="M27" i="33"/>
  <c r="R15" i="33"/>
  <c r="R15" i="32"/>
  <c r="R15" i="31"/>
  <c r="R19" i="32"/>
  <c r="R19" i="31"/>
  <c r="R19" i="33"/>
  <c r="S20" i="33"/>
  <c r="S20" i="32"/>
  <c r="S20" i="31"/>
  <c r="Q22" i="33"/>
  <c r="Q22" i="32"/>
  <c r="Q22" i="31"/>
  <c r="R23" i="33"/>
  <c r="R23" i="32"/>
  <c r="R23" i="31"/>
  <c r="S24" i="33"/>
  <c r="S24" i="32"/>
  <c r="S24" i="31"/>
  <c r="P25" i="33"/>
  <c r="P25" i="31"/>
  <c r="P25" i="32"/>
  <c r="M26" i="33"/>
  <c r="M26" i="32"/>
  <c r="M26" i="31"/>
  <c r="Q26" i="32"/>
  <c r="Q26" i="31"/>
  <c r="R27" i="33"/>
  <c r="R27" i="32"/>
  <c r="R27" i="31"/>
  <c r="S28" i="33"/>
  <c r="S28" i="32"/>
  <c r="S28" i="31"/>
  <c r="P29" i="33"/>
  <c r="P29" i="31"/>
  <c r="P29" i="32"/>
  <c r="M30" i="33"/>
  <c r="M30" i="32"/>
  <c r="M30" i="31"/>
  <c r="Q30" i="33"/>
  <c r="Q30" i="32"/>
  <c r="Q30" i="31"/>
  <c r="BD30" i="29"/>
  <c r="AB30" i="29" s="1"/>
  <c r="AL30" i="29" s="1"/>
  <c r="BI30" i="29"/>
  <c r="AC30" i="29" s="1"/>
  <c r="AO30" i="29" s="1"/>
  <c r="P11" i="33"/>
  <c r="P11" i="31"/>
  <c r="P11" i="32"/>
  <c r="R12" i="33"/>
  <c r="R12" i="32"/>
  <c r="R12" i="31"/>
  <c r="P14" i="33"/>
  <c r="P14" i="32"/>
  <c r="P14" i="31"/>
  <c r="M15" i="32"/>
  <c r="M15" i="33"/>
  <c r="M15" i="31"/>
  <c r="R16" i="33"/>
  <c r="R16" i="32"/>
  <c r="R16" i="31"/>
  <c r="M19" i="32"/>
  <c r="M19" i="33"/>
  <c r="M19" i="31"/>
  <c r="S21" i="33"/>
  <c r="S21" i="31"/>
  <c r="S21" i="32"/>
  <c r="M23" i="32"/>
  <c r="M23" i="31"/>
  <c r="M23" i="33"/>
  <c r="R24" i="33"/>
  <c r="R24" i="32"/>
  <c r="R24" i="31"/>
  <c r="S25" i="33"/>
  <c r="S25" i="32"/>
  <c r="S25" i="31"/>
  <c r="Q27" i="33"/>
  <c r="Q27" i="32"/>
  <c r="Q27" i="31"/>
  <c r="S29" i="33"/>
  <c r="S29" i="32"/>
  <c r="S29" i="31"/>
  <c r="BI29" i="29"/>
  <c r="AC29" i="29" s="1"/>
  <c r="AO29" i="29" s="1"/>
  <c r="P30" i="33"/>
  <c r="P30" i="32"/>
  <c r="P30" i="31"/>
  <c r="S12" i="33"/>
  <c r="S12" i="32"/>
  <c r="S12" i="31"/>
  <c r="P17" i="31"/>
  <c r="P17" i="32"/>
  <c r="P17" i="33"/>
  <c r="M18" i="32"/>
  <c r="M18" i="33"/>
  <c r="M18" i="31"/>
  <c r="M22" i="32"/>
  <c r="M22" i="33"/>
  <c r="M22" i="31"/>
  <c r="M13" i="33"/>
  <c r="M13" i="32"/>
  <c r="M13" i="31"/>
  <c r="R14" i="33"/>
  <c r="R14" i="32"/>
  <c r="R14" i="31"/>
  <c r="M17" i="33"/>
  <c r="M17" i="32"/>
  <c r="M17" i="31"/>
  <c r="M21" i="33"/>
  <c r="M21" i="32"/>
  <c r="M21" i="31"/>
  <c r="R22" i="32"/>
  <c r="R22" i="31"/>
  <c r="R22" i="33"/>
  <c r="BD22" i="29"/>
  <c r="AB22" i="29" s="1"/>
  <c r="AL22" i="29" s="1"/>
  <c r="S23" i="33"/>
  <c r="S23" i="32"/>
  <c r="S23" i="31"/>
  <c r="Q25" i="32"/>
  <c r="Q25" i="33"/>
  <c r="R26" i="33"/>
  <c r="R26" i="32"/>
  <c r="R26" i="31"/>
  <c r="AL27" i="29"/>
  <c r="AR27" i="29" s="1"/>
  <c r="P28" i="33"/>
  <c r="P28" i="31"/>
  <c r="P28" i="32"/>
  <c r="M29" i="33"/>
  <c r="M29" i="32"/>
  <c r="M29" i="31"/>
  <c r="Q29" i="32"/>
  <c r="Q29" i="33"/>
  <c r="R30" i="33"/>
  <c r="R30" i="31"/>
  <c r="R30" i="32"/>
  <c r="AN31" i="29"/>
  <c r="P18" i="33"/>
  <c r="P18" i="32"/>
  <c r="P18" i="31"/>
  <c r="R20" i="33"/>
  <c r="R20" i="32"/>
  <c r="R20" i="31"/>
  <c r="P22" i="33"/>
  <c r="P22" i="32"/>
  <c r="P22" i="31"/>
  <c r="Q23" i="33"/>
  <c r="Q23" i="32"/>
  <c r="Q23" i="31"/>
  <c r="BC23" i="29"/>
  <c r="P26" i="33"/>
  <c r="P26" i="32"/>
  <c r="P26" i="31"/>
  <c r="M27" i="32"/>
  <c r="M27" i="31"/>
  <c r="BC27" i="29"/>
  <c r="R28" i="33"/>
  <c r="R28" i="32"/>
  <c r="R28" i="31"/>
  <c r="J12" i="32"/>
  <c r="M11" i="32"/>
  <c r="M11" i="33"/>
  <c r="M11" i="31"/>
  <c r="P13" i="31"/>
  <c r="P13" i="32"/>
  <c r="P13" i="33"/>
  <c r="M14" i="32"/>
  <c r="M14" i="33"/>
  <c r="M14" i="31"/>
  <c r="S16" i="33"/>
  <c r="S16" i="32"/>
  <c r="S16" i="31"/>
  <c r="P21" i="33"/>
  <c r="P21" i="31"/>
  <c r="P21" i="32"/>
  <c r="R11" i="33"/>
  <c r="R11" i="32"/>
  <c r="R11" i="31"/>
  <c r="BI11" i="29"/>
  <c r="P12" i="31"/>
  <c r="P12" i="33"/>
  <c r="P12" i="32"/>
  <c r="S15" i="33"/>
  <c r="S15" i="32"/>
  <c r="S15" i="31"/>
  <c r="P16" i="33"/>
  <c r="P16" i="31"/>
  <c r="P16" i="32"/>
  <c r="R18" i="33"/>
  <c r="R18" i="32"/>
  <c r="R18" i="31"/>
  <c r="BD18" i="29"/>
  <c r="S19" i="33"/>
  <c r="S19" i="32"/>
  <c r="S19" i="31"/>
  <c r="P20" i="31"/>
  <c r="P20" i="33"/>
  <c r="P20" i="32"/>
  <c r="AL23" i="29"/>
  <c r="P24" i="33"/>
  <c r="P24" i="31"/>
  <c r="P24" i="32"/>
  <c r="M25" i="33"/>
  <c r="M25" i="32"/>
  <c r="M25" i="31"/>
  <c r="BD26" i="29"/>
  <c r="AB26" i="29" s="1"/>
  <c r="AL26" i="29" s="1"/>
  <c r="S27" i="33"/>
  <c r="S27" i="32"/>
  <c r="S27" i="31"/>
  <c r="R13" i="33"/>
  <c r="R13" i="32"/>
  <c r="R13" i="31"/>
  <c r="S14" i="33"/>
  <c r="S14" i="31"/>
  <c r="S14" i="32"/>
  <c r="P15" i="33"/>
  <c r="P15" i="31"/>
  <c r="P15" i="32"/>
  <c r="Q16" i="32"/>
  <c r="R17" i="33"/>
  <c r="R17" i="32"/>
  <c r="R17" i="31"/>
  <c r="S18" i="33"/>
  <c r="S18" i="31"/>
  <c r="S18" i="32"/>
  <c r="P19" i="33"/>
  <c r="P19" i="31"/>
  <c r="P19" i="32"/>
  <c r="Q20" i="32"/>
  <c r="Q20" i="33"/>
  <c r="Q20" i="31"/>
  <c r="R21" i="33"/>
  <c r="R21" i="32"/>
  <c r="R21" i="31"/>
  <c r="S22" i="33"/>
  <c r="S22" i="31"/>
  <c r="S22" i="32"/>
  <c r="P23" i="33"/>
  <c r="P23" i="31"/>
  <c r="P23" i="32"/>
  <c r="Q24" i="33"/>
  <c r="Q24" i="32"/>
  <c r="Q24" i="31"/>
  <c r="R25" i="33"/>
  <c r="R25" i="32"/>
  <c r="R25" i="31"/>
  <c r="S26" i="33"/>
  <c r="S26" i="32"/>
  <c r="S26" i="31"/>
  <c r="P27" i="33"/>
  <c r="P27" i="31"/>
  <c r="P27" i="32"/>
  <c r="Q28" i="33"/>
  <c r="Q28" i="32"/>
  <c r="Q28" i="31"/>
  <c r="R29" i="33"/>
  <c r="R29" i="31"/>
  <c r="R29" i="32"/>
  <c r="S30" i="33"/>
  <c r="S30" i="32"/>
  <c r="S30" i="31"/>
  <c r="S43" i="29"/>
  <c r="Q25" i="31"/>
  <c r="N20" i="32"/>
  <c r="K20" i="32"/>
  <c r="A27" i="32"/>
  <c r="A23" i="32"/>
  <c r="A22" i="32"/>
  <c r="A21" i="32"/>
  <c r="A20" i="32"/>
  <c r="A19" i="32"/>
  <c r="A18" i="32"/>
  <c r="A17" i="32"/>
  <c r="A16" i="32"/>
  <c r="A15" i="32"/>
  <c r="A14" i="32"/>
  <c r="A13" i="32"/>
  <c r="A12" i="32"/>
  <c r="A11" i="32"/>
  <c r="A30" i="32"/>
  <c r="A26" i="32"/>
  <c r="A29" i="32"/>
  <c r="A25" i="32"/>
  <c r="A28" i="32"/>
  <c r="N11" i="32"/>
  <c r="K11" i="32"/>
  <c r="J17" i="32"/>
  <c r="J11" i="31"/>
  <c r="J13" i="31"/>
  <c r="J15" i="31"/>
  <c r="J17" i="31"/>
  <c r="J19" i="31"/>
  <c r="J21" i="31"/>
  <c r="J23" i="31"/>
  <c r="J25" i="31"/>
  <c r="J27" i="31"/>
  <c r="J29" i="31"/>
  <c r="K12" i="32"/>
  <c r="J13" i="32"/>
  <c r="J12" i="33"/>
  <c r="J21" i="33"/>
  <c r="J29" i="32"/>
  <c r="U11" i="31"/>
  <c r="J12" i="31"/>
  <c r="U13" i="31"/>
  <c r="J14" i="31"/>
  <c r="U15" i="31"/>
  <c r="J16" i="31"/>
  <c r="U17" i="31"/>
  <c r="J18" i="31"/>
  <c r="U19" i="31"/>
  <c r="J20" i="31"/>
  <c r="U21" i="31"/>
  <c r="J22" i="31"/>
  <c r="U23" i="31"/>
  <c r="J24" i="31"/>
  <c r="U25" i="31"/>
  <c r="J26" i="31"/>
  <c r="U27" i="31"/>
  <c r="J28" i="31"/>
  <c r="U29" i="31"/>
  <c r="J30" i="31"/>
  <c r="L20" i="32"/>
  <c r="J21" i="32"/>
  <c r="J25" i="32"/>
  <c r="K15" i="32"/>
  <c r="J16" i="32"/>
  <c r="K19" i="32"/>
  <c r="J20" i="32"/>
  <c r="K23" i="32"/>
  <c r="N23" i="32"/>
  <c r="L23" i="32"/>
  <c r="K30" i="31"/>
  <c r="J24" i="32"/>
  <c r="J27" i="32"/>
  <c r="J28" i="32"/>
  <c r="J17" i="33"/>
  <c r="J13" i="33"/>
  <c r="U24" i="33"/>
  <c r="U25" i="33"/>
  <c r="U28" i="33"/>
  <c r="U29" i="33"/>
  <c r="H266" i="9"/>
  <c r="Q266" i="9" s="1"/>
  <c r="R260" i="9"/>
  <c r="R259" i="9"/>
  <c r="M259" i="9"/>
  <c r="I260" i="9"/>
  <c r="I259" i="9"/>
  <c r="D259" i="9"/>
  <c r="H252" i="9"/>
  <c r="Q252" i="9" s="1"/>
  <c r="R246" i="9"/>
  <c r="R245" i="9"/>
  <c r="M245" i="9"/>
  <c r="I246" i="9"/>
  <c r="I245" i="9"/>
  <c r="D245" i="9"/>
  <c r="H238" i="9"/>
  <c r="Q238" i="9" s="1"/>
  <c r="R232" i="9"/>
  <c r="R231" i="9"/>
  <c r="M231" i="9"/>
  <c r="I232" i="9"/>
  <c r="I231" i="9"/>
  <c r="D231" i="9"/>
  <c r="H224" i="9"/>
  <c r="Q224" i="9" s="1"/>
  <c r="R218" i="9"/>
  <c r="R217" i="9"/>
  <c r="M217" i="9"/>
  <c r="I218" i="9"/>
  <c r="I217" i="9"/>
  <c r="D217" i="9"/>
  <c r="H212" i="9"/>
  <c r="Q212" i="9" s="1"/>
  <c r="R206" i="9"/>
  <c r="R205" i="9"/>
  <c r="M205" i="9"/>
  <c r="I206" i="9"/>
  <c r="I205" i="9"/>
  <c r="D205" i="9"/>
  <c r="H198" i="9"/>
  <c r="Q198" i="9" s="1"/>
  <c r="R192" i="9"/>
  <c r="R191" i="9"/>
  <c r="M191" i="9"/>
  <c r="I192" i="9"/>
  <c r="I191" i="9"/>
  <c r="D191" i="9"/>
  <c r="H184" i="9"/>
  <c r="Q184" i="9" s="1"/>
  <c r="R178" i="9"/>
  <c r="R177" i="9"/>
  <c r="M177" i="9"/>
  <c r="I178" i="9"/>
  <c r="I177" i="9"/>
  <c r="D177" i="9"/>
  <c r="H170" i="9"/>
  <c r="Q170" i="9" s="1"/>
  <c r="R164" i="9"/>
  <c r="R163" i="9"/>
  <c r="M163" i="9"/>
  <c r="I164" i="9"/>
  <c r="I163" i="9"/>
  <c r="D163" i="9"/>
  <c r="H158" i="9"/>
  <c r="Q158" i="9" s="1"/>
  <c r="R152" i="9"/>
  <c r="R151" i="9"/>
  <c r="M151" i="9"/>
  <c r="I152" i="9"/>
  <c r="I151" i="9"/>
  <c r="D151" i="9"/>
  <c r="H144" i="9"/>
  <c r="Q144" i="9" s="1"/>
  <c r="R138" i="9"/>
  <c r="R137" i="9"/>
  <c r="M137" i="9"/>
  <c r="I138" i="9"/>
  <c r="I137" i="9"/>
  <c r="D137" i="9"/>
  <c r="H130" i="9"/>
  <c r="Q130" i="9" s="1"/>
  <c r="R124" i="9"/>
  <c r="R123" i="9"/>
  <c r="M123" i="9"/>
  <c r="I124" i="9"/>
  <c r="I123" i="9"/>
  <c r="D123" i="9"/>
  <c r="H116" i="9"/>
  <c r="Q116" i="9" s="1"/>
  <c r="R110" i="9"/>
  <c r="R109" i="9"/>
  <c r="M109" i="9"/>
  <c r="I110" i="9"/>
  <c r="I109" i="9"/>
  <c r="D109" i="9"/>
  <c r="H104" i="9"/>
  <c r="Q104" i="9" s="1"/>
  <c r="R98" i="9"/>
  <c r="R97" i="9"/>
  <c r="M97" i="9"/>
  <c r="I98" i="9"/>
  <c r="I97" i="9"/>
  <c r="D97" i="9"/>
  <c r="H90" i="9"/>
  <c r="Q90" i="9" s="1"/>
  <c r="R84" i="9"/>
  <c r="R83" i="9"/>
  <c r="M83" i="9"/>
  <c r="I84" i="9"/>
  <c r="I83" i="9"/>
  <c r="D83" i="9"/>
  <c r="H76" i="9"/>
  <c r="Q76" i="9" s="1"/>
  <c r="R70" i="9"/>
  <c r="R69" i="9"/>
  <c r="M69" i="9"/>
  <c r="I70" i="9"/>
  <c r="I69" i="9"/>
  <c r="D69" i="9"/>
  <c r="H62" i="9"/>
  <c r="Q62" i="9" s="1"/>
  <c r="R56" i="9"/>
  <c r="R55" i="9"/>
  <c r="M55" i="9"/>
  <c r="I56" i="9"/>
  <c r="I55" i="9"/>
  <c r="D55" i="9"/>
  <c r="H50" i="9"/>
  <c r="Q50" i="9" s="1"/>
  <c r="R44" i="9"/>
  <c r="R43" i="9"/>
  <c r="M43" i="9"/>
  <c r="I44" i="9"/>
  <c r="I43" i="9"/>
  <c r="D43" i="9"/>
  <c r="H36" i="9"/>
  <c r="Q36" i="9" s="1"/>
  <c r="R30" i="9"/>
  <c r="R29" i="9"/>
  <c r="M29" i="9"/>
  <c r="I30" i="9"/>
  <c r="I29" i="9"/>
  <c r="D29" i="9"/>
  <c r="H22" i="9"/>
  <c r="Q22" i="9" s="1"/>
  <c r="R16" i="9"/>
  <c r="R15" i="9"/>
  <c r="M15" i="9"/>
  <c r="I16" i="9"/>
  <c r="I15" i="9"/>
  <c r="D15" i="9"/>
  <c r="H8" i="9"/>
  <c r="Q8" i="9" s="1"/>
  <c r="R2" i="9"/>
  <c r="R1" i="9"/>
  <c r="M1" i="9"/>
  <c r="I2" i="9"/>
  <c r="I1" i="9"/>
  <c r="D1" i="9"/>
  <c r="M15" i="1"/>
  <c r="M19" i="1"/>
  <c r="M20" i="1"/>
  <c r="M27" i="1"/>
  <c r="M14" i="1"/>
  <c r="M23" i="1"/>
  <c r="M26" i="1"/>
  <c r="M30" i="1"/>
  <c r="M16" i="1"/>
  <c r="M17" i="1"/>
  <c r="M18" i="1"/>
  <c r="M21" i="1"/>
  <c r="M22" i="1"/>
  <c r="M24" i="1"/>
  <c r="M25" i="1"/>
  <c r="M28" i="1"/>
  <c r="M29" i="1"/>
  <c r="L11" i="1"/>
  <c r="N11" i="1"/>
  <c r="O11" i="1"/>
  <c r="P11" i="1"/>
  <c r="BA11" i="1" s="1"/>
  <c r="L12" i="1"/>
  <c r="N12" i="1"/>
  <c r="O12" i="1"/>
  <c r="P12" i="1"/>
  <c r="L13" i="1"/>
  <c r="N13" i="1"/>
  <c r="O13" i="1"/>
  <c r="P13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11" i="1"/>
  <c r="I101" i="30" a="1"/>
  <c r="D100" i="30" a="1"/>
  <c r="D126" i="30" a="1"/>
  <c r="I113" i="30" a="1"/>
  <c r="I127" i="30" a="1"/>
  <c r="D112" i="30" a="1"/>
  <c r="I87" i="30" a="1"/>
  <c r="D86" i="30" a="1"/>
  <c r="I73" i="30" a="1"/>
  <c r="I59" i="30" a="1"/>
  <c r="D72" i="30" a="1"/>
  <c r="D58" i="30" a="1"/>
  <c r="I47" i="30" a="1"/>
  <c r="I33" i="30" a="1"/>
  <c r="D46" i="30" a="1"/>
  <c r="D32" i="30" a="1"/>
  <c r="Q19" i="33" l="1"/>
  <c r="Q19" i="32"/>
  <c r="Q19" i="31"/>
  <c r="I127" i="30"/>
  <c r="I113" i="30"/>
  <c r="I101" i="30"/>
  <c r="I87" i="30"/>
  <c r="AP31" i="29"/>
  <c r="AC15" i="29"/>
  <c r="AO15" i="29" s="1"/>
  <c r="AE31" i="29"/>
  <c r="Q16" i="31"/>
  <c r="I73" i="30"/>
  <c r="I59" i="30"/>
  <c r="I47" i="30"/>
  <c r="I33" i="30"/>
  <c r="AR26" i="29"/>
  <c r="AR22" i="29"/>
  <c r="AR25" i="29"/>
  <c r="S11" i="31"/>
  <c r="S11" i="32"/>
  <c r="D166" i="30"/>
  <c r="D140" i="30"/>
  <c r="D180" i="30"/>
  <c r="D220" i="30"/>
  <c r="D248" i="30"/>
  <c r="D32" i="30"/>
  <c r="D100" i="30"/>
  <c r="D112" i="30"/>
  <c r="D58" i="30"/>
  <c r="D262" i="30"/>
  <c r="D86" i="30"/>
  <c r="D194" i="30"/>
  <c r="D234" i="30"/>
  <c r="D72" i="30"/>
  <c r="D154" i="30"/>
  <c r="D208" i="30"/>
  <c r="D126" i="30"/>
  <c r="D46" i="30"/>
  <c r="AR23" i="29"/>
  <c r="AL24" i="29"/>
  <c r="AR24" i="29" s="1"/>
  <c r="BC15" i="29"/>
  <c r="AB15" i="29" s="1"/>
  <c r="AL28" i="29"/>
  <c r="AR28" i="29" s="1"/>
  <c r="BB12" i="29"/>
  <c r="Q12" i="29" s="1"/>
  <c r="AM30" i="29"/>
  <c r="AR30" i="29" s="1"/>
  <c r="Q11" i="29"/>
  <c r="BC19" i="29"/>
  <c r="AB19" i="29" s="1"/>
  <c r="AM19" i="29" s="1"/>
  <c r="D261" i="30"/>
  <c r="D247" i="30"/>
  <c r="D233" i="30"/>
  <c r="D219" i="30"/>
  <c r="D207" i="30"/>
  <c r="D193" i="30"/>
  <c r="D179" i="30"/>
  <c r="D165" i="30"/>
  <c r="D153" i="30"/>
  <c r="D139" i="30"/>
  <c r="D125" i="30"/>
  <c r="D111" i="30"/>
  <c r="D99" i="30"/>
  <c r="D85" i="30"/>
  <c r="D71" i="30"/>
  <c r="D57" i="30"/>
  <c r="D45" i="30"/>
  <c r="D31" i="30"/>
  <c r="BB11" i="1"/>
  <c r="Q11" i="1" s="1"/>
  <c r="BA13" i="1"/>
  <c r="BA12" i="1"/>
  <c r="Q15" i="32"/>
  <c r="Q15" i="33"/>
  <c r="Q15" i="31"/>
  <c r="Q13" i="31"/>
  <c r="Q13" i="33"/>
  <c r="Q13" i="32"/>
  <c r="Q17" i="33"/>
  <c r="Q17" i="32"/>
  <c r="Q17" i="31"/>
  <c r="AM15" i="29"/>
  <c r="AA20" i="29"/>
  <c r="BC20" i="29" s="1"/>
  <c r="AB20" i="29" s="1"/>
  <c r="BC12" i="29"/>
  <c r="AB12" i="29" s="1"/>
  <c r="BF12" i="29"/>
  <c r="BE12" i="29" s="1"/>
  <c r="AC12" i="29" s="1"/>
  <c r="AO12" i="29" s="1"/>
  <c r="AA18" i="29"/>
  <c r="AA21" i="29"/>
  <c r="BC16" i="29"/>
  <c r="AB16" i="29" s="1"/>
  <c r="BF16" i="29"/>
  <c r="BE16" i="29" s="1"/>
  <c r="AC16" i="29" s="1"/>
  <c r="AO16" i="29" s="1"/>
  <c r="BC17" i="29"/>
  <c r="AB17" i="29" s="1"/>
  <c r="BF17" i="29"/>
  <c r="BE17" i="29" s="1"/>
  <c r="AC17" i="29" s="1"/>
  <c r="AO17" i="29" s="1"/>
  <c r="AA14" i="29"/>
  <c r="AA11" i="29"/>
  <c r="BC13" i="29"/>
  <c r="AB13" i="29" s="1"/>
  <c r="BF13" i="29"/>
  <c r="BE13" i="29" s="1"/>
  <c r="AC13" i="29" s="1"/>
  <c r="AO13" i="29" s="1"/>
  <c r="W32" i="33"/>
  <c r="Z32" i="31"/>
  <c r="N267" i="30"/>
  <c r="D267" i="30"/>
  <c r="D264" i="30" s="1" a="1"/>
  <c r="D264" i="30" s="1"/>
  <c r="D63" i="30"/>
  <c r="N63" i="30"/>
  <c r="N77" i="30"/>
  <c r="D77" i="30"/>
  <c r="D199" i="30"/>
  <c r="D196" i="30" s="1" a="1"/>
  <c r="D196" i="30" s="1"/>
  <c r="N199" i="30"/>
  <c r="N37" i="30"/>
  <c r="D37" i="30"/>
  <c r="D159" i="30"/>
  <c r="D156" i="30" s="1" a="1"/>
  <c r="D156" i="30" s="1"/>
  <c r="N159" i="30"/>
  <c r="D117" i="30"/>
  <c r="D114" i="30" s="1" a="1"/>
  <c r="D114" i="30" s="1"/>
  <c r="N117" i="30"/>
  <c r="N91" i="30"/>
  <c r="D91" i="30"/>
  <c r="D88" i="30" s="1" a="1"/>
  <c r="D88" i="30" s="1"/>
  <c r="D213" i="30"/>
  <c r="D210" i="30" s="1" a="1"/>
  <c r="D210" i="30" s="1"/>
  <c r="N213" i="30"/>
  <c r="N171" i="30"/>
  <c r="D171" i="30"/>
  <c r="D168" i="30" s="1" a="1"/>
  <c r="D168" i="30" s="1"/>
  <c r="N225" i="30"/>
  <c r="D225" i="30"/>
  <c r="D222" i="30" s="1" a="1"/>
  <c r="D222" i="30" s="1"/>
  <c r="N131" i="30"/>
  <c r="D131" i="30"/>
  <c r="D128" i="30" s="1" a="1"/>
  <c r="D128" i="30" s="1"/>
  <c r="D145" i="30"/>
  <c r="D142" i="30" s="1" a="1"/>
  <c r="D142" i="30" s="1"/>
  <c r="N145" i="30"/>
  <c r="N23" i="30"/>
  <c r="D23" i="30"/>
  <c r="D253" i="30"/>
  <c r="D250" i="30" s="1" a="1"/>
  <c r="D250" i="30" s="1"/>
  <c r="N253" i="30"/>
  <c r="D239" i="30"/>
  <c r="D236" i="30" s="1" a="1"/>
  <c r="D236" i="30" s="1"/>
  <c r="N239" i="30"/>
  <c r="N9" i="30"/>
  <c r="D9" i="30"/>
  <c r="D51" i="30"/>
  <c r="N51" i="30"/>
  <c r="N185" i="30"/>
  <c r="D185" i="30"/>
  <c r="D182" i="30" s="1" a="1"/>
  <c r="D182" i="30" s="1"/>
  <c r="D105" i="30"/>
  <c r="D102" i="30" s="1" a="1"/>
  <c r="D102" i="30" s="1"/>
  <c r="N105" i="30"/>
  <c r="R11" i="1"/>
  <c r="D60" i="30" a="1"/>
  <c r="D74" i="30" a="1"/>
  <c r="D34" i="30" a="1"/>
  <c r="D48" i="30" a="1"/>
  <c r="D20" i="30" a="1"/>
  <c r="D6" i="30" a="1"/>
  <c r="D18" i="30" a="1"/>
  <c r="D4" i="30" a="1"/>
  <c r="D21" i="9" a="1"/>
  <c r="D158" i="9" a="1"/>
  <c r="C25" i="9" a="1"/>
  <c r="D184" i="9" a="1"/>
  <c r="E225" i="9" a="1"/>
  <c r="M133" i="9" a="1"/>
  <c r="G193" i="9" a="1"/>
  <c r="E213" i="9" a="1"/>
  <c r="D11" i="9" a="1"/>
  <c r="M65" i="9" a="1"/>
  <c r="E91" i="9" a="1"/>
  <c r="D7" i="9" a="1"/>
  <c r="D169" i="9" a="1"/>
  <c r="F260" i="9" a="1"/>
  <c r="G207" i="9" a="1"/>
  <c r="E37" i="9" a="1"/>
  <c r="D265" i="9" a="1"/>
  <c r="M11" i="9" a="1"/>
  <c r="G233" i="9" a="1"/>
  <c r="D25" i="9" a="1"/>
  <c r="C201" i="9" a="1"/>
  <c r="D226" i="9" a="1"/>
  <c r="H11" i="9" a="1"/>
  <c r="F152" i="9" a="1"/>
  <c r="F124" i="9" a="1"/>
  <c r="C215" i="9" a="1"/>
  <c r="D118" i="9" a="1"/>
  <c r="D103" i="9" a="1"/>
  <c r="D38" i="9" a="1"/>
  <c r="F232" i="9" a="1"/>
  <c r="C173" i="9" a="1"/>
  <c r="D130" i="9" a="1"/>
  <c r="H30" i="9" a="1"/>
  <c r="M25" i="9" a="1"/>
  <c r="G179" i="9" a="1"/>
  <c r="D107" i="9" a="1"/>
  <c r="D224" i="9" a="1"/>
  <c r="H201" i="9" a="1"/>
  <c r="F138" i="9" a="1"/>
  <c r="D89" i="9" a="1"/>
  <c r="H38" i="9" a="1"/>
  <c r="E105" i="9" a="1"/>
  <c r="D266" i="9" a="1"/>
  <c r="D198" i="9" a="1"/>
  <c r="H16" i="9" a="1"/>
  <c r="M215" i="9" a="1"/>
  <c r="H215" i="9" a="1"/>
  <c r="M255" i="9" a="1"/>
  <c r="F178" i="9" a="1"/>
  <c r="G85" i="9" a="1"/>
  <c r="F110" i="9" a="1"/>
  <c r="D211" i="9" a="1"/>
  <c r="H187" i="9" a="1"/>
  <c r="H93" i="9" a="1"/>
  <c r="D78" i="9" a="1"/>
  <c r="D76" i="9" a="1"/>
  <c r="C255" i="9" a="1"/>
  <c r="F246" i="9" a="1"/>
  <c r="G45" i="9" a="1"/>
  <c r="C161" i="9" a="1"/>
  <c r="H255" i="9" a="1"/>
  <c r="G57" i="9" a="1"/>
  <c r="D104" i="9" a="1"/>
  <c r="F192" i="9" a="1"/>
  <c r="D39" i="9" a="1"/>
  <c r="M269" i="9" a="1"/>
  <c r="G71" i="9" a="1"/>
  <c r="M39" i="9" a="1"/>
  <c r="F218" i="9" a="1"/>
  <c r="C187" i="9" a="1"/>
  <c r="D227" i="9" a="1"/>
  <c r="H133" i="9" a="1"/>
  <c r="C119" i="9" a="1"/>
  <c r="C11" i="9" a="1"/>
  <c r="M161" i="9" a="1"/>
  <c r="D240" i="9" a="1"/>
  <c r="H227" i="9" a="1"/>
  <c r="D8" i="9" a="1"/>
  <c r="D50" i="9" a="1"/>
  <c r="D52" i="9" a="1"/>
  <c r="D106" i="9" a="1"/>
  <c r="D64" i="9" a="1"/>
  <c r="H24" i="9" a="1"/>
  <c r="D65" i="9" a="1"/>
  <c r="E23" i="9" a="1"/>
  <c r="D24" i="9" a="1"/>
  <c r="D62" i="9" a="1"/>
  <c r="C65" i="9" a="1"/>
  <c r="D35" i="9" a="1"/>
  <c r="F70" i="9" a="1"/>
  <c r="E239" i="9" a="1"/>
  <c r="D200" i="9" a="1"/>
  <c r="D172" i="9" a="1"/>
  <c r="C79" i="9" a="1"/>
  <c r="M93" i="9" a="1"/>
  <c r="H25" i="9" a="1"/>
  <c r="D212" i="9" a="1"/>
  <c r="H39" i="9" a="1"/>
  <c r="C133" i="9" a="1"/>
  <c r="D254" i="9" a="1"/>
  <c r="E159" i="9" a="1"/>
  <c r="H147" i="9" a="1"/>
  <c r="E253" i="9" a="1"/>
  <c r="M79" i="9" a="1"/>
  <c r="D223" i="9" a="1"/>
  <c r="M53" i="9" a="1"/>
  <c r="D214" i="9" a="1"/>
  <c r="D49" i="9" a="1"/>
  <c r="D241" i="9" a="1"/>
  <c r="D132" i="9" a="1"/>
  <c r="D10" i="9" a="1"/>
  <c r="D255" i="9" a="1"/>
  <c r="D157" i="9" a="1"/>
  <c r="H65" i="9" a="1"/>
  <c r="C39" i="9" a="1"/>
  <c r="D129" i="9" a="1"/>
  <c r="D90" i="9" a="1"/>
  <c r="E185" i="9" a="1"/>
  <c r="E9" i="9" a="1"/>
  <c r="D133" i="9" a="1"/>
  <c r="G31" i="9" a="1"/>
  <c r="G99" i="9" a="1"/>
  <c r="C53" i="9" a="1"/>
  <c r="M119" i="9" a="1"/>
  <c r="F206" i="9" a="1"/>
  <c r="D146" i="9" a="1"/>
  <c r="G153" i="9" a="1"/>
  <c r="C107" i="9" a="1"/>
  <c r="E131" i="9" a="1"/>
  <c r="D268" i="9" a="1"/>
  <c r="H119" i="9" a="1"/>
  <c r="H173" i="9" a="1"/>
  <c r="E145" i="9" a="1"/>
  <c r="F164" i="9" a="1"/>
  <c r="G125" i="9" a="1"/>
  <c r="G261" i="9" a="1"/>
  <c r="D22" i="9" a="1"/>
  <c r="M201" i="9" a="1"/>
  <c r="D144" i="9" a="1"/>
  <c r="D161" i="9" a="1"/>
  <c r="G3" i="9" a="1"/>
  <c r="D61" i="9" a="1"/>
  <c r="H53" i="9" a="1"/>
  <c r="E199" i="9" a="1"/>
  <c r="H161" i="9" a="1"/>
  <c r="D201" i="9" a="1"/>
  <c r="D116" i="9" a="1"/>
  <c r="F84" i="9" a="1"/>
  <c r="D53" i="9" a="1"/>
  <c r="H107" i="9" a="1"/>
  <c r="M241" i="9" a="1"/>
  <c r="D119" i="9" a="1"/>
  <c r="M147" i="9" a="1"/>
  <c r="D252" i="9" a="1"/>
  <c r="E77" i="9" a="1"/>
  <c r="D115" i="9" a="1"/>
  <c r="G247" i="9" a="1"/>
  <c r="D215" i="9" a="1"/>
  <c r="H2" i="9" a="1"/>
  <c r="C147" i="9" a="1"/>
  <c r="G139" i="9" a="1"/>
  <c r="G17" i="9" a="1"/>
  <c r="M187" i="9" a="1"/>
  <c r="D186" i="9" a="1"/>
  <c r="D187" i="9" a="1"/>
  <c r="E51" i="9" a="1"/>
  <c r="G219" i="9" a="1"/>
  <c r="E267" i="9" a="1"/>
  <c r="D197" i="9" a="1"/>
  <c r="E117" i="9" a="1"/>
  <c r="D75" i="9" a="1"/>
  <c r="H79" i="9" a="1"/>
  <c r="D237" i="9" a="1"/>
  <c r="D143" i="9" a="1"/>
  <c r="F44" i="9" a="1"/>
  <c r="H269" i="9" a="1"/>
  <c r="H10" i="9" a="1"/>
  <c r="D147" i="9" a="1"/>
  <c r="E63" i="9" a="1"/>
  <c r="D251" i="9" a="1"/>
  <c r="C93" i="9" a="1"/>
  <c r="D183" i="9" a="1"/>
  <c r="D93" i="9" a="1"/>
  <c r="I5" i="30" a="1"/>
  <c r="H9" i="9" a="1"/>
  <c r="D160" i="9" a="1"/>
  <c r="M227" i="9" a="1"/>
  <c r="M107" i="9" a="1"/>
  <c r="C269" i="9" a="1"/>
  <c r="H241" i="9" a="1"/>
  <c r="D92" i="9" a="1"/>
  <c r="G111" i="9" a="1"/>
  <c r="D79" i="9" a="1"/>
  <c r="F56" i="9" a="1"/>
  <c r="C227" i="9" a="1"/>
  <c r="D269" i="9" a="1"/>
  <c r="E171" i="9" a="1"/>
  <c r="I19" i="30" a="1"/>
  <c r="M173" i="9" a="1"/>
  <c r="D238" i="9" a="1"/>
  <c r="C241" i="9" a="1"/>
  <c r="F98" i="9" a="1"/>
  <c r="D36" i="9" a="1"/>
  <c r="D173" i="9" a="1"/>
  <c r="D170" i="9" a="1"/>
  <c r="G165" i="9" a="1"/>
  <c r="D74" i="30" l="1"/>
  <c r="D60" i="30"/>
  <c r="D48" i="30"/>
  <c r="D34" i="30"/>
  <c r="D20" i="30"/>
  <c r="I19" i="30"/>
  <c r="D18" i="30"/>
  <c r="Q12" i="33"/>
  <c r="Q12" i="32"/>
  <c r="Q12" i="31"/>
  <c r="AL19" i="29"/>
  <c r="AR19" i="29" s="1"/>
  <c r="D6" i="30"/>
  <c r="D4" i="30"/>
  <c r="I5" i="30"/>
  <c r="H241" i="9"/>
  <c r="D90" i="9"/>
  <c r="M90" i="9" s="1"/>
  <c r="D11" i="9"/>
  <c r="M25" i="9"/>
  <c r="F152" i="9"/>
  <c r="O152" i="9" s="1"/>
  <c r="E253" i="9"/>
  <c r="N253" i="9" s="1"/>
  <c r="G3" i="9"/>
  <c r="P3" i="9" s="1"/>
  <c r="H25" i="9"/>
  <c r="D76" i="9"/>
  <c r="M76" i="9" s="1"/>
  <c r="G261" i="9"/>
  <c r="P261" i="9" s="1"/>
  <c r="C79" i="9"/>
  <c r="L79" i="9" s="1"/>
  <c r="O84" i="30"/>
  <c r="D201" i="9"/>
  <c r="G85" i="9"/>
  <c r="P85" i="9" s="1"/>
  <c r="H255" i="9"/>
  <c r="F17" i="30"/>
  <c r="O17" i="30" s="1"/>
  <c r="G111" i="9"/>
  <c r="P111" i="9" s="1"/>
  <c r="D197" i="9"/>
  <c r="M197" i="9" s="1"/>
  <c r="D103" i="9"/>
  <c r="M103" i="9" s="1"/>
  <c r="D170" i="9"/>
  <c r="M170" i="9" s="1"/>
  <c r="D75" i="9"/>
  <c r="M75" i="9" s="1"/>
  <c r="D265" i="9"/>
  <c r="M265" i="9" s="1"/>
  <c r="D212" i="9"/>
  <c r="M212" i="9" s="1"/>
  <c r="H11" i="9"/>
  <c r="E37" i="9"/>
  <c r="D37" i="9" s="1"/>
  <c r="C133" i="9"/>
  <c r="L133" i="9" s="1"/>
  <c r="E225" i="9"/>
  <c r="N225" i="9" s="1"/>
  <c r="H79" i="9"/>
  <c r="D254" i="9"/>
  <c r="M254" i="9" s="1"/>
  <c r="F260" i="9"/>
  <c r="O260" i="9" s="1"/>
  <c r="E131" i="9"/>
  <c r="N131" i="9" s="1"/>
  <c r="O260" i="30"/>
  <c r="H119" i="9"/>
  <c r="H161" i="9"/>
  <c r="E63" i="9"/>
  <c r="D63" i="9" s="1"/>
  <c r="L255" i="30"/>
  <c r="L119" i="30"/>
  <c r="D146" i="9"/>
  <c r="M146" i="9" s="1"/>
  <c r="O192" i="30"/>
  <c r="O44" i="30"/>
  <c r="C161" i="9"/>
  <c r="L161" i="9" s="1"/>
  <c r="D62" i="9"/>
  <c r="M62" i="9" s="1"/>
  <c r="M107" i="9"/>
  <c r="E23" i="9"/>
  <c r="N23" i="9" s="1"/>
  <c r="D89" i="9"/>
  <c r="M89" i="9" s="1"/>
  <c r="Q10" i="30"/>
  <c r="G179" i="9"/>
  <c r="P179" i="9" s="1"/>
  <c r="D61" i="9"/>
  <c r="M61" i="9" s="1"/>
  <c r="O56" i="30"/>
  <c r="G125" i="9"/>
  <c r="P125" i="9" s="1"/>
  <c r="D147" i="9"/>
  <c r="D223" i="9"/>
  <c r="M223" i="9" s="1"/>
  <c r="E159" i="9"/>
  <c r="D159" i="9" s="1"/>
  <c r="E239" i="9"/>
  <c r="N239" i="9" s="1"/>
  <c r="M201" i="9"/>
  <c r="E267" i="9"/>
  <c r="N267" i="9" s="1"/>
  <c r="C201" i="9"/>
  <c r="L201" i="9" s="1"/>
  <c r="O206" i="30"/>
  <c r="E51" i="9"/>
  <c r="N51" i="9" s="1"/>
  <c r="E185" i="9"/>
  <c r="N185" i="9" s="1"/>
  <c r="H227" i="9"/>
  <c r="O246" i="30"/>
  <c r="D10" i="9"/>
  <c r="M10" i="9" s="1"/>
  <c r="E91" i="9"/>
  <c r="N91" i="9" s="1"/>
  <c r="H201" i="9"/>
  <c r="L201" i="30"/>
  <c r="C255" i="9"/>
  <c r="L255" i="9" s="1"/>
  <c r="D21" i="9"/>
  <c r="M21" i="9" s="1"/>
  <c r="F178" i="9"/>
  <c r="O178" i="9" s="1"/>
  <c r="O164" i="30"/>
  <c r="G31" i="9"/>
  <c r="P31" i="9" s="1"/>
  <c r="H24" i="9"/>
  <c r="Q24" i="9" s="1"/>
  <c r="C65" i="9"/>
  <c r="L65" i="9" s="1"/>
  <c r="D116" i="9"/>
  <c r="M116" i="9" s="1"/>
  <c r="D158" i="9"/>
  <c r="M158" i="9" s="1"/>
  <c r="H269" i="9"/>
  <c r="D160" i="9"/>
  <c r="M160" i="9" s="1"/>
  <c r="O232" i="30"/>
  <c r="F84" i="9"/>
  <c r="O84" i="9" s="1"/>
  <c r="E77" i="9"/>
  <c r="D77" i="9" s="1"/>
  <c r="O98" i="30"/>
  <c r="Q30" i="30"/>
  <c r="L133" i="30"/>
  <c r="M173" i="9"/>
  <c r="L107" i="30"/>
  <c r="D52" i="9"/>
  <c r="M52" i="9" s="1"/>
  <c r="O152" i="30"/>
  <c r="H30" i="9"/>
  <c r="F31" i="9" s="1"/>
  <c r="O31" i="9" s="1"/>
  <c r="M39" i="9"/>
  <c r="D215" i="9"/>
  <c r="G207" i="9"/>
  <c r="P207" i="9" s="1"/>
  <c r="F218" i="9"/>
  <c r="O218" i="9" s="1"/>
  <c r="E145" i="9"/>
  <c r="D145" i="9" s="1"/>
  <c r="D238" i="9"/>
  <c r="M238" i="9" s="1"/>
  <c r="D214" i="9"/>
  <c r="M214" i="9" s="1"/>
  <c r="D183" i="9"/>
  <c r="M183" i="9" s="1"/>
  <c r="D129" i="9"/>
  <c r="M129" i="9" s="1"/>
  <c r="D184" i="9"/>
  <c r="M184" i="9" s="1"/>
  <c r="C187" i="9"/>
  <c r="L187" i="9" s="1"/>
  <c r="D157" i="9"/>
  <c r="M157" i="9" s="1"/>
  <c r="Q24" i="30"/>
  <c r="D200" i="9"/>
  <c r="M200" i="9" s="1"/>
  <c r="M53" i="9"/>
  <c r="D65" i="9"/>
  <c r="M11" i="9"/>
  <c r="G165" i="9"/>
  <c r="P165" i="9" s="1"/>
  <c r="C227" i="9"/>
  <c r="L227" i="9" s="1"/>
  <c r="H107" i="9"/>
  <c r="D93" i="9"/>
  <c r="F70" i="9"/>
  <c r="O70" i="9" s="1"/>
  <c r="D251" i="9"/>
  <c r="M251" i="9" s="1"/>
  <c r="D36" i="9"/>
  <c r="M36" i="9" s="1"/>
  <c r="H2" i="9"/>
  <c r="F3" i="9" s="1"/>
  <c r="O3" i="9" s="1"/>
  <c r="L269" i="30"/>
  <c r="L161" i="30"/>
  <c r="M187" i="9"/>
  <c r="F44" i="9"/>
  <c r="O44" i="9" s="1"/>
  <c r="O138" i="30"/>
  <c r="C241" i="9"/>
  <c r="L241" i="9" s="1"/>
  <c r="D24" i="9"/>
  <c r="M24" i="9" s="1"/>
  <c r="D79" i="9"/>
  <c r="D118" i="9"/>
  <c r="M118" i="9" s="1"/>
  <c r="M119" i="9"/>
  <c r="L79" i="30"/>
  <c r="D115" i="9"/>
  <c r="M115" i="9" s="1"/>
  <c r="M79" i="9"/>
  <c r="D64" i="9"/>
  <c r="M64" i="9" s="1"/>
  <c r="D252" i="9"/>
  <c r="M252" i="9" s="1"/>
  <c r="E9" i="9"/>
  <c r="N9" i="9" s="1"/>
  <c r="D198" i="9"/>
  <c r="M198" i="9" s="1"/>
  <c r="D269" i="9"/>
  <c r="D237" i="9"/>
  <c r="M237" i="9" s="1"/>
  <c r="D224" i="9"/>
  <c r="M224" i="9" s="1"/>
  <c r="C269" i="9"/>
  <c r="L269" i="9" s="1"/>
  <c r="G139" i="9"/>
  <c r="P139" i="9" s="1"/>
  <c r="M147" i="9"/>
  <c r="F232" i="9"/>
  <c r="O232" i="9" s="1"/>
  <c r="O110" i="30"/>
  <c r="G99" i="9"/>
  <c r="P99" i="9" s="1"/>
  <c r="L65" i="30"/>
  <c r="L39" i="30"/>
  <c r="H38" i="9"/>
  <c r="Q38" i="9" s="1"/>
  <c r="C93" i="9"/>
  <c r="L93" i="9" s="1"/>
  <c r="G57" i="9"/>
  <c r="P57" i="9" s="1"/>
  <c r="D255" i="9"/>
  <c r="D130" i="9"/>
  <c r="M130" i="9" s="1"/>
  <c r="O124" i="30"/>
  <c r="H147" i="9"/>
  <c r="D133" i="9"/>
  <c r="O218" i="30"/>
  <c r="G193" i="9"/>
  <c r="P193" i="9" s="1"/>
  <c r="D35" i="9"/>
  <c r="M35" i="9" s="1"/>
  <c r="D7" i="9"/>
  <c r="M7" i="9" s="1"/>
  <c r="M133" i="9"/>
  <c r="D143" i="9"/>
  <c r="M143" i="9" s="1"/>
  <c r="F3" i="30"/>
  <c r="O3" i="30" s="1"/>
  <c r="E105" i="9"/>
  <c r="N105" i="9" s="1"/>
  <c r="G247" i="9"/>
  <c r="P247" i="9" s="1"/>
  <c r="L227" i="30"/>
  <c r="M161" i="9"/>
  <c r="D186" i="9"/>
  <c r="M186" i="9" s="1"/>
  <c r="M215" i="9"/>
  <c r="F98" i="9"/>
  <c r="O98" i="9" s="1"/>
  <c r="F110" i="9"/>
  <c r="O110" i="9" s="1"/>
  <c r="D39" i="9"/>
  <c r="M65" i="9"/>
  <c r="L11" i="30"/>
  <c r="F192" i="9"/>
  <c r="O192" i="9" s="1"/>
  <c r="L241" i="30"/>
  <c r="H187" i="9"/>
  <c r="D8" i="9"/>
  <c r="M8" i="9" s="1"/>
  <c r="D92" i="9"/>
  <c r="M92" i="9" s="1"/>
  <c r="D241" i="9"/>
  <c r="C107" i="9"/>
  <c r="L107" i="9" s="1"/>
  <c r="H173" i="9"/>
  <c r="D173" i="9"/>
  <c r="D38" i="9"/>
  <c r="M38" i="9" s="1"/>
  <c r="C25" i="9"/>
  <c r="L25" i="9" s="1"/>
  <c r="G233" i="9"/>
  <c r="P233" i="9" s="1"/>
  <c r="F206" i="9"/>
  <c r="O206" i="9" s="1"/>
  <c r="G153" i="9"/>
  <c r="P153" i="9" s="1"/>
  <c r="D49" i="9"/>
  <c r="M49" i="9" s="1"/>
  <c r="F124" i="9"/>
  <c r="O124" i="9" s="1"/>
  <c r="D187" i="9"/>
  <c r="D240" i="9"/>
  <c r="M240" i="9" s="1"/>
  <c r="D172" i="9"/>
  <c r="M172" i="9" s="1"/>
  <c r="D161" i="9"/>
  <c r="D78" i="9"/>
  <c r="M78" i="9" s="1"/>
  <c r="H133" i="9"/>
  <c r="O70" i="30"/>
  <c r="F56" i="9"/>
  <c r="O56" i="9" s="1"/>
  <c r="L187" i="30"/>
  <c r="G17" i="9"/>
  <c r="P17" i="9" s="1"/>
  <c r="M255" i="9"/>
  <c r="E213" i="9"/>
  <c r="N213" i="9" s="1"/>
  <c r="D22" i="9"/>
  <c r="M22" i="9" s="1"/>
  <c r="L93" i="30"/>
  <c r="C147" i="9"/>
  <c r="L147" i="9" s="1"/>
  <c r="C39" i="9"/>
  <c r="L39" i="9" s="1"/>
  <c r="M227" i="9"/>
  <c r="D104" i="9"/>
  <c r="M104" i="9" s="1"/>
  <c r="D169" i="9"/>
  <c r="M169" i="9" s="1"/>
  <c r="E171" i="9"/>
  <c r="D171" i="9" s="1"/>
  <c r="H215" i="9"/>
  <c r="D25" i="9"/>
  <c r="F246" i="9"/>
  <c r="O246" i="9" s="1"/>
  <c r="M93" i="9"/>
  <c r="D211" i="9"/>
  <c r="M211" i="9" s="1"/>
  <c r="C119" i="9"/>
  <c r="L119" i="9" s="1"/>
  <c r="H10" i="9"/>
  <c r="Q10" i="9" s="1"/>
  <c r="D226" i="9"/>
  <c r="M226" i="9" s="1"/>
  <c r="D53" i="9"/>
  <c r="D107" i="9"/>
  <c r="D268" i="9"/>
  <c r="M268" i="9" s="1"/>
  <c r="D50" i="9"/>
  <c r="M50" i="9" s="1"/>
  <c r="C173" i="9"/>
  <c r="L173" i="9" s="1"/>
  <c r="D132" i="9"/>
  <c r="M132" i="9" s="1"/>
  <c r="L147" i="30"/>
  <c r="L53" i="30"/>
  <c r="Q38" i="30"/>
  <c r="E117" i="9"/>
  <c r="D117" i="9" s="1"/>
  <c r="L25" i="30"/>
  <c r="M241" i="9"/>
  <c r="H65" i="9"/>
  <c r="D144" i="9"/>
  <c r="M144" i="9" s="1"/>
  <c r="E199" i="9"/>
  <c r="D199" i="9" s="1"/>
  <c r="L215" i="30"/>
  <c r="F164" i="9"/>
  <c r="O164" i="9" s="1"/>
  <c r="H53" i="9"/>
  <c r="C53" i="9"/>
  <c r="L53" i="9" s="1"/>
  <c r="H16" i="9"/>
  <c r="F17" i="9" s="1"/>
  <c r="O17" i="9" s="1"/>
  <c r="M269" i="9"/>
  <c r="D119" i="9"/>
  <c r="H39" i="9"/>
  <c r="C11" i="9"/>
  <c r="L11" i="9" s="1"/>
  <c r="C215" i="9"/>
  <c r="L215" i="9" s="1"/>
  <c r="D106" i="9"/>
  <c r="M106" i="9" s="1"/>
  <c r="G219" i="9"/>
  <c r="P219" i="9" s="1"/>
  <c r="D227" i="9"/>
  <c r="D266" i="9"/>
  <c r="M266" i="9" s="1"/>
  <c r="O178" i="30"/>
  <c r="L173" i="30"/>
  <c r="G45" i="9"/>
  <c r="P45" i="9" s="1"/>
  <c r="F138" i="9"/>
  <c r="O138" i="9" s="1"/>
  <c r="G71" i="9"/>
  <c r="P71" i="9" s="1"/>
  <c r="H93" i="9"/>
  <c r="BB12" i="1"/>
  <c r="Q12" i="1" s="1"/>
  <c r="BB13" i="1"/>
  <c r="Q13" i="1" s="1"/>
  <c r="AA13" i="1"/>
  <c r="BF20" i="29"/>
  <c r="BE20" i="29" s="1"/>
  <c r="AC20" i="29" s="1"/>
  <c r="AO20" i="29" s="1"/>
  <c r="AM16" i="29"/>
  <c r="AM12" i="29"/>
  <c r="AL20" i="29"/>
  <c r="AM20" i="29"/>
  <c r="AM13" i="29"/>
  <c r="AM17" i="29"/>
  <c r="AL17" i="29"/>
  <c r="Q21" i="31"/>
  <c r="Q21" i="32"/>
  <c r="Q21" i="33"/>
  <c r="BC18" i="29"/>
  <c r="AB18" i="29" s="1"/>
  <c r="BF18" i="29"/>
  <c r="BE18" i="29" s="1"/>
  <c r="AC18" i="29" s="1"/>
  <c r="AO18" i="29" s="1"/>
  <c r="Q14" i="31"/>
  <c r="Q14" i="33"/>
  <c r="Q14" i="32"/>
  <c r="BC21" i="29"/>
  <c r="AB21" i="29" s="1"/>
  <c r="BF21" i="29"/>
  <c r="BE21" i="29" s="1"/>
  <c r="AC21" i="29" s="1"/>
  <c r="AO21" i="29" s="1"/>
  <c r="BF11" i="29"/>
  <c r="BE11" i="29" s="1"/>
  <c r="AC11" i="29" s="1"/>
  <c r="BC11" i="29"/>
  <c r="AB11" i="29" s="1"/>
  <c r="BC14" i="29"/>
  <c r="AB14" i="29" s="1"/>
  <c r="BF14" i="29"/>
  <c r="BE14" i="29" s="1"/>
  <c r="AC14" i="29" s="1"/>
  <c r="AO14" i="29" s="1"/>
  <c r="Q11" i="32"/>
  <c r="Q43" i="29"/>
  <c r="O34" i="29" s="1"/>
  <c r="P34" i="33" s="1"/>
  <c r="Q11" i="33"/>
  <c r="Q11" i="31"/>
  <c r="Q18" i="31"/>
  <c r="Q18" i="33"/>
  <c r="Q18" i="32"/>
  <c r="Q9" i="30"/>
  <c r="M117" i="30"/>
  <c r="M253" i="30"/>
  <c r="D249" i="30"/>
  <c r="M249" i="30" s="1"/>
  <c r="M250" i="30"/>
  <c r="F249" i="30"/>
  <c r="O249" i="30" s="1"/>
  <c r="M142" i="30"/>
  <c r="D141" i="30"/>
  <c r="M141" i="30" s="1"/>
  <c r="F141" i="30"/>
  <c r="O141" i="30" s="1"/>
  <c r="M145" i="30"/>
  <c r="M213" i="30"/>
  <c r="D209" i="30"/>
  <c r="M209" i="30" s="1"/>
  <c r="M210" i="30"/>
  <c r="F209" i="30"/>
  <c r="O209" i="30" s="1"/>
  <c r="M91" i="30"/>
  <c r="M77" i="30"/>
  <c r="F263" i="30"/>
  <c r="O263" i="30" s="1"/>
  <c r="M267" i="30"/>
  <c r="D263" i="30"/>
  <c r="M263" i="30" s="1"/>
  <c r="M264" i="30"/>
  <c r="F221" i="30"/>
  <c r="O221" i="30" s="1"/>
  <c r="M225" i="30"/>
  <c r="D221" i="30"/>
  <c r="M221" i="30" s="1"/>
  <c r="M222" i="30"/>
  <c r="F181" i="30"/>
  <c r="O181" i="30" s="1"/>
  <c r="M182" i="30"/>
  <c r="M185" i="30"/>
  <c r="D181" i="30"/>
  <c r="M181" i="30" s="1"/>
  <c r="M9" i="30"/>
  <c r="F5" i="30"/>
  <c r="O5" i="30" s="1"/>
  <c r="M37" i="30"/>
  <c r="F33" i="30"/>
  <c r="O33" i="30" s="1"/>
  <c r="M105" i="30"/>
  <c r="M51" i="30"/>
  <c r="M236" i="30"/>
  <c r="F235" i="30"/>
  <c r="O235" i="30" s="1"/>
  <c r="D235" i="30"/>
  <c r="M235" i="30" s="1"/>
  <c r="M239" i="30"/>
  <c r="F19" i="30"/>
  <c r="O19" i="30" s="1"/>
  <c r="M23" i="30"/>
  <c r="M131" i="30"/>
  <c r="F167" i="30"/>
  <c r="O167" i="30" s="1"/>
  <c r="M171" i="30"/>
  <c r="D167" i="30"/>
  <c r="M167" i="30" s="1"/>
  <c r="M168" i="30"/>
  <c r="M159" i="30"/>
  <c r="D155" i="30"/>
  <c r="M155" i="30" s="1"/>
  <c r="M156" i="30"/>
  <c r="F155" i="30"/>
  <c r="O155" i="30" s="1"/>
  <c r="M196" i="30"/>
  <c r="M199" i="30"/>
  <c r="F195" i="30"/>
  <c r="O195" i="30" s="1"/>
  <c r="D195" i="30"/>
  <c r="M195" i="30" s="1"/>
  <c r="M63" i="30"/>
  <c r="H9" i="9"/>
  <c r="Q9" i="9" s="1"/>
  <c r="N1" i="1"/>
  <c r="R12" i="1"/>
  <c r="R13" i="1"/>
  <c r="R14" i="1"/>
  <c r="R15" i="1"/>
  <c r="R16" i="1"/>
  <c r="R17" i="1"/>
  <c r="R18" i="1"/>
  <c r="R19" i="1"/>
  <c r="R20" i="1"/>
  <c r="R21" i="1"/>
  <c r="S21" i="1" s="1"/>
  <c r="R22" i="1"/>
  <c r="S22" i="1" s="1"/>
  <c r="R23" i="1"/>
  <c r="S23" i="1" s="1"/>
  <c r="R24" i="1"/>
  <c r="S24" i="1" s="1"/>
  <c r="R25" i="1"/>
  <c r="S25" i="1" s="1"/>
  <c r="R26" i="1"/>
  <c r="S26" i="1" s="1"/>
  <c r="R27" i="1"/>
  <c r="S27" i="1" s="1"/>
  <c r="R28" i="1"/>
  <c r="S28" i="1" s="1"/>
  <c r="R29" i="1"/>
  <c r="S29" i="1" s="1"/>
  <c r="R30" i="1"/>
  <c r="D32" i="9" a="1"/>
  <c r="D18" i="9" a="1"/>
  <c r="D4" i="9" a="1"/>
  <c r="H213" i="9" a="1"/>
  <c r="H37" i="9" a="1"/>
  <c r="H117" i="9" a="1"/>
  <c r="H199" i="9" a="1"/>
  <c r="H171" i="9" a="1"/>
  <c r="I33" i="9" a="1"/>
  <c r="H105" i="9" a="1"/>
  <c r="H145" i="9" a="1"/>
  <c r="H267" i="9" a="1"/>
  <c r="H51" i="9" a="1"/>
  <c r="H225" i="9" a="1"/>
  <c r="H159" i="9" a="1"/>
  <c r="I19" i="9" a="1"/>
  <c r="H77" i="9" a="1"/>
  <c r="H131" i="9" a="1"/>
  <c r="H185" i="9" a="1"/>
  <c r="H253" i="9" a="1"/>
  <c r="H63" i="9" a="1"/>
  <c r="H91" i="9" a="1"/>
  <c r="H239" i="9" a="1"/>
  <c r="H23" i="9" a="1"/>
  <c r="D4" i="9" l="1"/>
  <c r="N159" i="9"/>
  <c r="D253" i="9"/>
  <c r="Q2" i="9"/>
  <c r="N37" i="9"/>
  <c r="N145" i="9"/>
  <c r="D225" i="9"/>
  <c r="D213" i="9"/>
  <c r="D105" i="9"/>
  <c r="M105" i="9" s="1"/>
  <c r="D9" i="9"/>
  <c r="M9" i="9" s="1"/>
  <c r="D51" i="9"/>
  <c r="D131" i="9"/>
  <c r="N117" i="9"/>
  <c r="Q2" i="30"/>
  <c r="Q16" i="9"/>
  <c r="N77" i="9"/>
  <c r="N171" i="9"/>
  <c r="Q30" i="9"/>
  <c r="D91" i="9"/>
  <c r="M91" i="9" s="1"/>
  <c r="D185" i="9"/>
  <c r="D267" i="9"/>
  <c r="D23" i="9"/>
  <c r="F19" i="9" s="1"/>
  <c r="O19" i="9" s="1"/>
  <c r="N63" i="9"/>
  <c r="D239" i="9"/>
  <c r="N199" i="9"/>
  <c r="Q16" i="30"/>
  <c r="F31" i="30"/>
  <c r="O31" i="30" s="1"/>
  <c r="D32" i="9"/>
  <c r="D18" i="9"/>
  <c r="I33" i="9"/>
  <c r="I19" i="9"/>
  <c r="H267" i="9"/>
  <c r="Q267" i="9" s="1"/>
  <c r="H253" i="9"/>
  <c r="Q253" i="9" s="1"/>
  <c r="H199" i="9"/>
  <c r="Q199" i="9" s="1"/>
  <c r="H239" i="9"/>
  <c r="Q239" i="9" s="1"/>
  <c r="H185" i="9"/>
  <c r="Q185" i="9" s="1"/>
  <c r="H225" i="9"/>
  <c r="Q225" i="9" s="1"/>
  <c r="H171" i="9"/>
  <c r="Q171" i="9" s="1"/>
  <c r="H159" i="9"/>
  <c r="Q159" i="9" s="1"/>
  <c r="H213" i="9"/>
  <c r="Q213" i="9" s="1"/>
  <c r="H145" i="9"/>
  <c r="Q145" i="9" s="1"/>
  <c r="H63" i="9"/>
  <c r="Q63" i="9" s="1"/>
  <c r="H51" i="9"/>
  <c r="Q51" i="9" s="1"/>
  <c r="H91" i="9"/>
  <c r="Q91" i="9" s="1"/>
  <c r="H37" i="9"/>
  <c r="Q37" i="9" s="1"/>
  <c r="H131" i="9"/>
  <c r="Q131" i="9" s="1"/>
  <c r="H77" i="9"/>
  <c r="Q77" i="9" s="1"/>
  <c r="H23" i="9"/>
  <c r="Q23" i="9" s="1"/>
  <c r="H105" i="9"/>
  <c r="Q105" i="9" s="1"/>
  <c r="H117" i="9"/>
  <c r="Q117" i="9" s="1"/>
  <c r="AR17" i="29"/>
  <c r="AR20" i="29"/>
  <c r="AM14" i="29"/>
  <c r="AM21" i="29"/>
  <c r="AL21" i="29"/>
  <c r="AL18" i="29"/>
  <c r="AM18" i="29"/>
  <c r="P34" i="31"/>
  <c r="AO11" i="29"/>
  <c r="AO31" i="29" s="1"/>
  <c r="AC31" i="29"/>
  <c r="AM11" i="29"/>
  <c r="Q267" i="30"/>
  <c r="Q105" i="30"/>
  <c r="Q51" i="30"/>
  <c r="Q199" i="30"/>
  <c r="Q145" i="30"/>
  <c r="Q91" i="30"/>
  <c r="Q239" i="30"/>
  <c r="Q185" i="30"/>
  <c r="Q131" i="30"/>
  <c r="Q77" i="30"/>
  <c r="Q23" i="30"/>
  <c r="Q159" i="30"/>
  <c r="Q225" i="30"/>
  <c r="Q171" i="30"/>
  <c r="Q117" i="30"/>
  <c r="Q63" i="30"/>
  <c r="Q213" i="30"/>
  <c r="Q253" i="30"/>
  <c r="Q37" i="30"/>
  <c r="S15" i="1"/>
  <c r="S17" i="1"/>
  <c r="S13" i="1"/>
  <c r="S20" i="1"/>
  <c r="S16" i="1"/>
  <c r="S12" i="1"/>
  <c r="S18" i="1"/>
  <c r="S14" i="1"/>
  <c r="S19" i="1"/>
  <c r="M171" i="9"/>
  <c r="M199" i="9"/>
  <c r="M63" i="9"/>
  <c r="M117" i="9"/>
  <c r="F33" i="9"/>
  <c r="O33" i="9" s="1"/>
  <c r="M37" i="9"/>
  <c r="M145" i="9"/>
  <c r="M77" i="9"/>
  <c r="M159" i="9"/>
  <c r="M71" i="13"/>
  <c r="M72" i="13"/>
  <c r="M73" i="13"/>
  <c r="M74" i="13"/>
  <c r="M75" i="13"/>
  <c r="M76" i="13"/>
  <c r="M77" i="13"/>
  <c r="M78" i="13"/>
  <c r="M79" i="13"/>
  <c r="M80" i="13"/>
  <c r="M81" i="13"/>
  <c r="M82" i="13"/>
  <c r="M83" i="13"/>
  <c r="M84" i="13"/>
  <c r="M85" i="13"/>
  <c r="M86" i="13"/>
  <c r="M87" i="13"/>
  <c r="M88" i="13"/>
  <c r="M89" i="13"/>
  <c r="M90" i="13"/>
  <c r="M91" i="13"/>
  <c r="M92" i="13"/>
  <c r="M93" i="13"/>
  <c r="M94" i="13"/>
  <c r="M95" i="13"/>
  <c r="M96" i="13"/>
  <c r="M97" i="13"/>
  <c r="M98" i="13"/>
  <c r="M99" i="13"/>
  <c r="M70" i="13"/>
  <c r="D89" i="13"/>
  <c r="D90" i="13"/>
  <c r="D97" i="13"/>
  <c r="B98" i="13"/>
  <c r="D98" i="13"/>
  <c r="B100" i="13"/>
  <c r="D100" i="13"/>
  <c r="B103" i="13"/>
  <c r="D103" i="13"/>
  <c r="B104" i="13"/>
  <c r="D104" i="13"/>
  <c r="B107" i="13"/>
  <c r="D107" i="13"/>
  <c r="B108" i="13"/>
  <c r="C108" i="13"/>
  <c r="D108" i="13"/>
  <c r="E108" i="13"/>
  <c r="B109" i="13"/>
  <c r="C109" i="13"/>
  <c r="D109" i="13"/>
  <c r="E109" i="13"/>
  <c r="B110" i="13"/>
  <c r="C110" i="13"/>
  <c r="D110" i="13"/>
  <c r="E110" i="13"/>
  <c r="B111" i="13"/>
  <c r="C111" i="13"/>
  <c r="D111" i="13"/>
  <c r="E111" i="13"/>
  <c r="B112" i="13"/>
  <c r="C112" i="13"/>
  <c r="D112" i="13"/>
  <c r="E112" i="13"/>
  <c r="B113" i="13"/>
  <c r="C113" i="13"/>
  <c r="D113" i="13"/>
  <c r="E113" i="13"/>
  <c r="B114" i="13"/>
  <c r="C114" i="13"/>
  <c r="D114" i="13"/>
  <c r="E114" i="13"/>
  <c r="B115" i="13"/>
  <c r="C115" i="13"/>
  <c r="D115" i="13"/>
  <c r="E115" i="13"/>
  <c r="B116" i="13"/>
  <c r="C116" i="13"/>
  <c r="D116" i="13"/>
  <c r="E116" i="13"/>
  <c r="B117" i="13"/>
  <c r="C117" i="13"/>
  <c r="D117" i="13"/>
  <c r="E117" i="13"/>
  <c r="I60" i="13"/>
  <c r="I61" i="13"/>
  <c r="I62" i="13"/>
  <c r="I65" i="13"/>
  <c r="I66" i="13"/>
  <c r="I70" i="13"/>
  <c r="I71" i="13"/>
  <c r="I72" i="13"/>
  <c r="I73" i="13"/>
  <c r="I74" i="13"/>
  <c r="I75" i="13"/>
  <c r="I76" i="13"/>
  <c r="I79" i="13"/>
  <c r="I80" i="13"/>
  <c r="I84" i="13"/>
  <c r="I85" i="13"/>
  <c r="I86" i="13"/>
  <c r="I87" i="13"/>
  <c r="I88" i="13"/>
  <c r="I59" i="13"/>
  <c r="I78" i="13"/>
  <c r="I77" i="13"/>
  <c r="I64" i="13"/>
  <c r="I63" i="13"/>
  <c r="C107" i="13"/>
  <c r="D106" i="13"/>
  <c r="C106" i="13"/>
  <c r="B106" i="13"/>
  <c r="D105" i="13"/>
  <c r="C105" i="13"/>
  <c r="B105" i="13"/>
  <c r="C104" i="13"/>
  <c r="C103" i="13"/>
  <c r="D102" i="13"/>
  <c r="C102" i="13"/>
  <c r="B102" i="13"/>
  <c r="D101" i="13"/>
  <c r="C101" i="13"/>
  <c r="B101" i="13"/>
  <c r="C100" i="13"/>
  <c r="D99" i="13"/>
  <c r="C99" i="13"/>
  <c r="B99" i="13"/>
  <c r="C98" i="13"/>
  <c r="C97" i="13"/>
  <c r="B97" i="13"/>
  <c r="D96" i="13"/>
  <c r="C96" i="13"/>
  <c r="B96" i="13"/>
  <c r="D95" i="13"/>
  <c r="C95" i="13"/>
  <c r="B95" i="13"/>
  <c r="D94" i="13"/>
  <c r="C94" i="13"/>
  <c r="B94" i="13"/>
  <c r="D93" i="13"/>
  <c r="C93" i="13"/>
  <c r="B93" i="13"/>
  <c r="D92" i="13"/>
  <c r="C92" i="13"/>
  <c r="B92" i="13"/>
  <c r="D91" i="13"/>
  <c r="C91" i="13"/>
  <c r="B91" i="13"/>
  <c r="C90" i="13"/>
  <c r="B90" i="13"/>
  <c r="C89" i="13"/>
  <c r="B89" i="13"/>
  <c r="D88" i="13"/>
  <c r="C88" i="13"/>
  <c r="B88" i="13"/>
  <c r="D250" i="9" a="1"/>
  <c r="D236" i="9" a="1"/>
  <c r="D196" i="9" a="1"/>
  <c r="D168" i="9" a="1"/>
  <c r="D210" i="9" a="1"/>
  <c r="D182" i="9" a="1"/>
  <c r="D142" i="9" a="1"/>
  <c r="D156" i="9" a="1"/>
  <c r="D114" i="9" a="1"/>
  <c r="D128" i="9" a="1"/>
  <c r="D74" i="9" a="1"/>
  <c r="D60" i="9" a="1"/>
  <c r="D48" i="9" a="1"/>
  <c r="D34" i="9" a="1"/>
  <c r="D250" i="9" l="1"/>
  <c r="M250" i="9" s="1"/>
  <c r="D236" i="9"/>
  <c r="M236" i="9" s="1"/>
  <c r="D182" i="9"/>
  <c r="M182" i="9" s="1"/>
  <c r="D210" i="9"/>
  <c r="M210" i="9" s="1"/>
  <c r="D168" i="9"/>
  <c r="D196" i="9"/>
  <c r="D156" i="9"/>
  <c r="D142" i="9"/>
  <c r="M253" i="9"/>
  <c r="M225" i="9"/>
  <c r="M51" i="9"/>
  <c r="M213" i="9"/>
  <c r="F5" i="9"/>
  <c r="O5" i="9" s="1"/>
  <c r="M131" i="9"/>
  <c r="M239" i="9"/>
  <c r="M185" i="9"/>
  <c r="M23" i="9"/>
  <c r="M267" i="9"/>
  <c r="AR18" i="29"/>
  <c r="AR21" i="29"/>
  <c r="AM31" i="29"/>
  <c r="D128" i="9"/>
  <c r="D114" i="9"/>
  <c r="D74" i="9"/>
  <c r="D60" i="9"/>
  <c r="D48" i="9"/>
  <c r="D34" i="9"/>
  <c r="E106" i="13"/>
  <c r="E102" i="13"/>
  <c r="E90" i="13"/>
  <c r="E103" i="13"/>
  <c r="E97" i="13"/>
  <c r="E100" i="13"/>
  <c r="E99" i="13"/>
  <c r="E89" i="13"/>
  <c r="E104" i="13"/>
  <c r="E101" i="13"/>
  <c r="E91" i="13"/>
  <c r="E93" i="13"/>
  <c r="E94" i="13"/>
  <c r="E98" i="13"/>
  <c r="E88" i="13"/>
  <c r="D222" i="9" a="1"/>
  <c r="D88" i="9" a="1"/>
  <c r="D102" i="9" a="1"/>
  <c r="D20" i="9" a="1"/>
  <c r="D249" i="9" l="1"/>
  <c r="M249" i="9" s="1"/>
  <c r="D235" i="9"/>
  <c r="M235" i="9" s="1"/>
  <c r="D222" i="9"/>
  <c r="D209" i="9"/>
  <c r="M209" i="9" s="1"/>
  <c r="D181" i="9"/>
  <c r="M181" i="9" s="1"/>
  <c r="M168" i="9"/>
  <c r="D167" i="9"/>
  <c r="M167" i="9" s="1"/>
  <c r="M196" i="9"/>
  <c r="D195" i="9"/>
  <c r="M195" i="9" s="1"/>
  <c r="D102" i="9"/>
  <c r="M102" i="9" s="1"/>
  <c r="D88" i="9"/>
  <c r="M88" i="9" s="1"/>
  <c r="M156" i="9"/>
  <c r="D155" i="9"/>
  <c r="M155" i="9" s="1"/>
  <c r="M142" i="9"/>
  <c r="D141" i="9"/>
  <c r="M141" i="9" s="1"/>
  <c r="D20" i="9"/>
  <c r="D19" i="9" s="1"/>
  <c r="M19" i="9" s="1"/>
  <c r="M102" i="30"/>
  <c r="D101" i="30"/>
  <c r="M101" i="30" s="1"/>
  <c r="M74" i="30"/>
  <c r="D73" i="30"/>
  <c r="M73" i="30" s="1"/>
  <c r="M128" i="30"/>
  <c r="D127" i="30"/>
  <c r="M127" i="30" s="1"/>
  <c r="M114" i="30"/>
  <c r="D113" i="30"/>
  <c r="M113" i="30" s="1"/>
  <c r="M48" i="30"/>
  <c r="D47" i="30"/>
  <c r="M47" i="30" s="1"/>
  <c r="M88" i="30"/>
  <c r="D87" i="30"/>
  <c r="M87" i="30" s="1"/>
  <c r="M34" i="30"/>
  <c r="D33" i="30"/>
  <c r="M33" i="30" s="1"/>
  <c r="M60" i="30"/>
  <c r="D59" i="30"/>
  <c r="M59" i="30" s="1"/>
  <c r="M20" i="30"/>
  <c r="D19" i="30"/>
  <c r="M19" i="30" s="1"/>
  <c r="E96" i="13"/>
  <c r="E107" i="13"/>
  <c r="E105" i="13"/>
  <c r="E95" i="13"/>
  <c r="E92" i="13"/>
  <c r="M128" i="9"/>
  <c r="D127" i="9"/>
  <c r="M127" i="9" s="1"/>
  <c r="M114" i="9"/>
  <c r="D113" i="9"/>
  <c r="M113" i="9" s="1"/>
  <c r="M74" i="9"/>
  <c r="D73" i="9"/>
  <c r="M73" i="9" s="1"/>
  <c r="M60" i="9"/>
  <c r="D59" i="9"/>
  <c r="M59" i="9" s="1"/>
  <c r="M48" i="9"/>
  <c r="D47" i="9"/>
  <c r="M47" i="9" s="1"/>
  <c r="D33" i="9"/>
  <c r="M33" i="9" s="1"/>
  <c r="M34" i="9"/>
  <c r="M222" i="9" l="1"/>
  <c r="D221" i="9"/>
  <c r="M221" i="9" s="1"/>
  <c r="D87" i="9"/>
  <c r="M87" i="9" s="1"/>
  <c r="D101" i="9"/>
  <c r="M101" i="9" s="1"/>
  <c r="M20" i="9"/>
  <c r="M13" i="1"/>
  <c r="M12" i="1"/>
  <c r="N6" i="18"/>
  <c r="W7" i="18"/>
  <c r="W6" i="18"/>
  <c r="W5" i="18"/>
  <c r="W4" i="18"/>
  <c r="X37" i="18"/>
  <c r="F35" i="18"/>
  <c r="F34" i="18"/>
  <c r="F33" i="18"/>
  <c r="Y30" i="18"/>
  <c r="X30" i="18"/>
  <c r="W30" i="18"/>
  <c r="V30" i="18"/>
  <c r="R30" i="18"/>
  <c r="I30" i="18"/>
  <c r="O30" i="18" s="1"/>
  <c r="H30" i="18"/>
  <c r="G30" i="18"/>
  <c r="K30" i="18" s="1"/>
  <c r="F30" i="18"/>
  <c r="J30" i="18" s="1"/>
  <c r="E30" i="18"/>
  <c r="D30" i="18"/>
  <c r="C30" i="18"/>
  <c r="B30" i="18"/>
  <c r="A30" i="18"/>
  <c r="Y29" i="18"/>
  <c r="X29" i="18"/>
  <c r="W29" i="18"/>
  <c r="V29" i="18"/>
  <c r="R29" i="18"/>
  <c r="I29" i="18"/>
  <c r="O29" i="18" s="1"/>
  <c r="H29" i="18"/>
  <c r="G29" i="18"/>
  <c r="K29" i="18" s="1"/>
  <c r="F29" i="18"/>
  <c r="J29" i="18" s="1"/>
  <c r="E29" i="18"/>
  <c r="D29" i="18"/>
  <c r="C29" i="18"/>
  <c r="B29" i="18"/>
  <c r="A29" i="18"/>
  <c r="Y28" i="18"/>
  <c r="X28" i="18"/>
  <c r="W28" i="18"/>
  <c r="V28" i="18"/>
  <c r="R28" i="18"/>
  <c r="I28" i="18"/>
  <c r="O28" i="18" s="1"/>
  <c r="H28" i="18"/>
  <c r="G28" i="18"/>
  <c r="K28" i="18" s="1"/>
  <c r="F28" i="18"/>
  <c r="J28" i="18" s="1"/>
  <c r="E28" i="18"/>
  <c r="D28" i="18"/>
  <c r="C28" i="18"/>
  <c r="B28" i="18"/>
  <c r="A28" i="18"/>
  <c r="Y27" i="18"/>
  <c r="X27" i="18"/>
  <c r="W27" i="18"/>
  <c r="V27" i="18"/>
  <c r="R27" i="18"/>
  <c r="I27" i="18"/>
  <c r="O27" i="18" s="1"/>
  <c r="H27" i="18"/>
  <c r="G27" i="18"/>
  <c r="K27" i="18" s="1"/>
  <c r="F27" i="18"/>
  <c r="J27" i="18" s="1"/>
  <c r="E27" i="18"/>
  <c r="D27" i="18"/>
  <c r="C27" i="18"/>
  <c r="B27" i="18"/>
  <c r="A27" i="18"/>
  <c r="Y26" i="18"/>
  <c r="X26" i="18"/>
  <c r="W26" i="18"/>
  <c r="V26" i="18"/>
  <c r="R26" i="18"/>
  <c r="I26" i="18"/>
  <c r="O26" i="18" s="1"/>
  <c r="H26" i="18"/>
  <c r="G26" i="18"/>
  <c r="K26" i="18" s="1"/>
  <c r="F26" i="18"/>
  <c r="J26" i="18" s="1"/>
  <c r="E26" i="18"/>
  <c r="D26" i="18"/>
  <c r="C26" i="18"/>
  <c r="B26" i="18"/>
  <c r="A26" i="18"/>
  <c r="Y25" i="18"/>
  <c r="X25" i="18"/>
  <c r="W25" i="18"/>
  <c r="V25" i="18"/>
  <c r="R25" i="18"/>
  <c r="I25" i="18"/>
  <c r="O25" i="18" s="1"/>
  <c r="H25" i="18"/>
  <c r="G25" i="18"/>
  <c r="K25" i="18" s="1"/>
  <c r="F25" i="18"/>
  <c r="J25" i="18" s="1"/>
  <c r="E25" i="18"/>
  <c r="D25" i="18"/>
  <c r="C25" i="18"/>
  <c r="B25" i="18"/>
  <c r="A25" i="18"/>
  <c r="Y24" i="18"/>
  <c r="X24" i="18"/>
  <c r="W24" i="18"/>
  <c r="V24" i="18"/>
  <c r="R24" i="18"/>
  <c r="I24" i="18"/>
  <c r="O24" i="18" s="1"/>
  <c r="H24" i="18"/>
  <c r="G24" i="18"/>
  <c r="K24" i="18" s="1"/>
  <c r="F24" i="18"/>
  <c r="J24" i="18" s="1"/>
  <c r="E24" i="18"/>
  <c r="D24" i="18"/>
  <c r="C24" i="18"/>
  <c r="B24" i="18"/>
  <c r="A24" i="18"/>
  <c r="Y23" i="18"/>
  <c r="X23" i="18"/>
  <c r="W23" i="18"/>
  <c r="V23" i="18"/>
  <c r="R23" i="18"/>
  <c r="I23" i="18"/>
  <c r="O23" i="18" s="1"/>
  <c r="H23" i="18"/>
  <c r="G23" i="18"/>
  <c r="K23" i="18" s="1"/>
  <c r="F23" i="18"/>
  <c r="J23" i="18" s="1"/>
  <c r="E23" i="18"/>
  <c r="D23" i="18"/>
  <c r="C23" i="18"/>
  <c r="B23" i="18"/>
  <c r="A23" i="18"/>
  <c r="Y22" i="18"/>
  <c r="X22" i="18"/>
  <c r="W22" i="18"/>
  <c r="V22" i="18"/>
  <c r="R22" i="18"/>
  <c r="I22" i="18"/>
  <c r="O22" i="18" s="1"/>
  <c r="H22" i="18"/>
  <c r="G22" i="18"/>
  <c r="K22" i="18" s="1"/>
  <c r="F22" i="18"/>
  <c r="J22" i="18" s="1"/>
  <c r="E22" i="18"/>
  <c r="D22" i="18"/>
  <c r="C22" i="18"/>
  <c r="B22" i="18"/>
  <c r="A22" i="18"/>
  <c r="Y21" i="18"/>
  <c r="X21" i="18"/>
  <c r="W21" i="18"/>
  <c r="V21" i="18"/>
  <c r="R21" i="18"/>
  <c r="I21" i="18"/>
  <c r="O21" i="18" s="1"/>
  <c r="H21" i="18"/>
  <c r="G21" i="18"/>
  <c r="K21" i="18" s="1"/>
  <c r="F21" i="18"/>
  <c r="J21" i="18" s="1"/>
  <c r="E21" i="18"/>
  <c r="D21" i="18"/>
  <c r="C21" i="18"/>
  <c r="B21" i="18"/>
  <c r="A21" i="18"/>
  <c r="Y20" i="18"/>
  <c r="X20" i="18"/>
  <c r="W20" i="18"/>
  <c r="V20" i="18"/>
  <c r="R20" i="18"/>
  <c r="I20" i="18"/>
  <c r="O20" i="18" s="1"/>
  <c r="H20" i="18"/>
  <c r="G20" i="18"/>
  <c r="K20" i="18" s="1"/>
  <c r="F20" i="18"/>
  <c r="J20" i="18" s="1"/>
  <c r="E20" i="18"/>
  <c r="D20" i="18"/>
  <c r="C20" i="18"/>
  <c r="B20" i="18"/>
  <c r="A20" i="18"/>
  <c r="Y19" i="18"/>
  <c r="X19" i="18"/>
  <c r="W19" i="18"/>
  <c r="V19" i="18"/>
  <c r="R19" i="18"/>
  <c r="I19" i="18"/>
  <c r="O19" i="18" s="1"/>
  <c r="H19" i="18"/>
  <c r="G19" i="18"/>
  <c r="K19" i="18" s="1"/>
  <c r="F19" i="18"/>
  <c r="J19" i="18" s="1"/>
  <c r="E19" i="18"/>
  <c r="D19" i="18"/>
  <c r="C19" i="18"/>
  <c r="B19" i="18"/>
  <c r="A19" i="18"/>
  <c r="Y18" i="18"/>
  <c r="X18" i="18"/>
  <c r="W18" i="18"/>
  <c r="V18" i="18"/>
  <c r="R18" i="18"/>
  <c r="I18" i="18"/>
  <c r="O18" i="18" s="1"/>
  <c r="H18" i="18"/>
  <c r="G18" i="18"/>
  <c r="K18" i="18" s="1"/>
  <c r="F18" i="18"/>
  <c r="J18" i="18" s="1"/>
  <c r="E18" i="18"/>
  <c r="D18" i="18"/>
  <c r="C18" i="18"/>
  <c r="B18" i="18"/>
  <c r="A18" i="18"/>
  <c r="Y17" i="18"/>
  <c r="X17" i="18"/>
  <c r="W17" i="18"/>
  <c r="V17" i="18"/>
  <c r="R17" i="18"/>
  <c r="I17" i="18"/>
  <c r="O17" i="18" s="1"/>
  <c r="H17" i="18"/>
  <c r="G17" i="18"/>
  <c r="K17" i="18" s="1"/>
  <c r="F17" i="18"/>
  <c r="J17" i="18" s="1"/>
  <c r="E17" i="18"/>
  <c r="D17" i="18"/>
  <c r="C17" i="18"/>
  <c r="B17" i="18"/>
  <c r="A17" i="18"/>
  <c r="Y16" i="18"/>
  <c r="X16" i="18"/>
  <c r="W16" i="18"/>
  <c r="V16" i="18"/>
  <c r="R16" i="18"/>
  <c r="I16" i="18"/>
  <c r="O16" i="18" s="1"/>
  <c r="H16" i="18"/>
  <c r="G16" i="18"/>
  <c r="K16" i="18" s="1"/>
  <c r="F16" i="18"/>
  <c r="J16" i="18" s="1"/>
  <c r="E16" i="18"/>
  <c r="D16" i="18"/>
  <c r="C16" i="18"/>
  <c r="B16" i="18"/>
  <c r="A16" i="18"/>
  <c r="Y15" i="18"/>
  <c r="X15" i="18"/>
  <c r="W15" i="18"/>
  <c r="V15" i="18"/>
  <c r="R15" i="18"/>
  <c r="I15" i="18"/>
  <c r="O15" i="18" s="1"/>
  <c r="H15" i="18"/>
  <c r="G15" i="18"/>
  <c r="K15" i="18" s="1"/>
  <c r="F15" i="18"/>
  <c r="J15" i="18" s="1"/>
  <c r="E15" i="18"/>
  <c r="D15" i="18"/>
  <c r="C15" i="18"/>
  <c r="B15" i="18"/>
  <c r="A15" i="18"/>
  <c r="Y14" i="18"/>
  <c r="X14" i="18"/>
  <c r="W14" i="18"/>
  <c r="V14" i="18"/>
  <c r="R14" i="18"/>
  <c r="I14" i="18"/>
  <c r="O14" i="18" s="1"/>
  <c r="H14" i="18"/>
  <c r="G14" i="18"/>
  <c r="K14" i="18" s="1"/>
  <c r="F14" i="18"/>
  <c r="J14" i="18" s="1"/>
  <c r="E14" i="18"/>
  <c r="D14" i="18"/>
  <c r="C14" i="18"/>
  <c r="B14" i="18"/>
  <c r="A14" i="18"/>
  <c r="Y13" i="18"/>
  <c r="X13" i="18"/>
  <c r="W13" i="18"/>
  <c r="V13" i="18"/>
  <c r="R13" i="18"/>
  <c r="I13" i="18"/>
  <c r="O13" i="18" s="1"/>
  <c r="H13" i="18"/>
  <c r="G13" i="18"/>
  <c r="K13" i="18" s="1"/>
  <c r="F13" i="18"/>
  <c r="J13" i="18" s="1"/>
  <c r="E13" i="18"/>
  <c r="D13" i="18"/>
  <c r="C13" i="18"/>
  <c r="B13" i="18"/>
  <c r="A13" i="18"/>
  <c r="Y12" i="18"/>
  <c r="X12" i="18"/>
  <c r="W12" i="18"/>
  <c r="V12" i="18"/>
  <c r="I12" i="18"/>
  <c r="O12" i="18" s="1"/>
  <c r="H12" i="18"/>
  <c r="G12" i="18"/>
  <c r="K12" i="18" s="1"/>
  <c r="F12" i="18"/>
  <c r="J12" i="18" s="1"/>
  <c r="E12" i="18"/>
  <c r="D12" i="18"/>
  <c r="C12" i="18"/>
  <c r="B12" i="18"/>
  <c r="A12" i="18"/>
  <c r="Y11" i="18"/>
  <c r="X11" i="18"/>
  <c r="W11" i="18"/>
  <c r="V11" i="18"/>
  <c r="I11" i="18"/>
  <c r="O11" i="18" s="1"/>
  <c r="H11" i="18"/>
  <c r="G11" i="18"/>
  <c r="K11" i="18" s="1"/>
  <c r="F11" i="18"/>
  <c r="J11" i="18" s="1"/>
  <c r="E11" i="18"/>
  <c r="D11" i="18"/>
  <c r="C11" i="18"/>
  <c r="B11" i="18"/>
  <c r="A11" i="18"/>
  <c r="R4" i="18"/>
  <c r="W2" i="18"/>
  <c r="Y1" i="18"/>
  <c r="X7" i="17"/>
  <c r="W7" i="17"/>
  <c r="W6" i="17"/>
  <c r="W5" i="17"/>
  <c r="W4" i="17"/>
  <c r="Z4" i="17"/>
  <c r="A29" i="17" s="1"/>
  <c r="Q6" i="17"/>
  <c r="W2" i="17"/>
  <c r="X37" i="17"/>
  <c r="F35" i="17"/>
  <c r="F34" i="17"/>
  <c r="F33" i="17"/>
  <c r="Y30" i="17"/>
  <c r="X30" i="17"/>
  <c r="W30" i="17"/>
  <c r="V30" i="17"/>
  <c r="R30" i="17"/>
  <c r="I30" i="17"/>
  <c r="O30" i="17" s="1"/>
  <c r="H30" i="17"/>
  <c r="G30" i="17"/>
  <c r="K30" i="17" s="1"/>
  <c r="F30" i="17"/>
  <c r="J30" i="17" s="1"/>
  <c r="E30" i="17"/>
  <c r="D30" i="17"/>
  <c r="C30" i="17"/>
  <c r="B30" i="17"/>
  <c r="Y29" i="17"/>
  <c r="X29" i="17"/>
  <c r="W29" i="17"/>
  <c r="V29" i="17"/>
  <c r="R29" i="17"/>
  <c r="I29" i="17"/>
  <c r="O29" i="17" s="1"/>
  <c r="H29" i="17"/>
  <c r="G29" i="17"/>
  <c r="K29" i="17" s="1"/>
  <c r="F29" i="17"/>
  <c r="J29" i="17" s="1"/>
  <c r="E29" i="17"/>
  <c r="D29" i="17"/>
  <c r="C29" i="17"/>
  <c r="B29" i="17"/>
  <c r="Y28" i="17"/>
  <c r="X28" i="17"/>
  <c r="W28" i="17"/>
  <c r="V28" i="17"/>
  <c r="R28" i="17"/>
  <c r="I28" i="17"/>
  <c r="O28" i="17" s="1"/>
  <c r="H28" i="17"/>
  <c r="G28" i="17"/>
  <c r="K28" i="17" s="1"/>
  <c r="F28" i="17"/>
  <c r="J28" i="17" s="1"/>
  <c r="E28" i="17"/>
  <c r="D28" i="17"/>
  <c r="C28" i="17"/>
  <c r="B28" i="17"/>
  <c r="Y27" i="17"/>
  <c r="X27" i="17"/>
  <c r="W27" i="17"/>
  <c r="V27" i="17"/>
  <c r="R27" i="17"/>
  <c r="I27" i="17"/>
  <c r="O27" i="17" s="1"/>
  <c r="H27" i="17"/>
  <c r="G27" i="17"/>
  <c r="K27" i="17" s="1"/>
  <c r="F27" i="17"/>
  <c r="J27" i="17" s="1"/>
  <c r="E27" i="17"/>
  <c r="D27" i="17"/>
  <c r="C27" i="17"/>
  <c r="B27" i="17"/>
  <c r="Y26" i="17"/>
  <c r="X26" i="17"/>
  <c r="W26" i="17"/>
  <c r="V26" i="17"/>
  <c r="R26" i="17"/>
  <c r="I26" i="17"/>
  <c r="O26" i="17" s="1"/>
  <c r="H26" i="17"/>
  <c r="G26" i="17"/>
  <c r="K26" i="17" s="1"/>
  <c r="F26" i="17"/>
  <c r="J26" i="17" s="1"/>
  <c r="E26" i="17"/>
  <c r="D26" i="17"/>
  <c r="C26" i="17"/>
  <c r="B26" i="17"/>
  <c r="Y25" i="17"/>
  <c r="X25" i="17"/>
  <c r="W25" i="17"/>
  <c r="V25" i="17"/>
  <c r="R25" i="17"/>
  <c r="I25" i="17"/>
  <c r="O25" i="17" s="1"/>
  <c r="H25" i="17"/>
  <c r="G25" i="17"/>
  <c r="K25" i="17" s="1"/>
  <c r="F25" i="17"/>
  <c r="J25" i="17" s="1"/>
  <c r="E25" i="17"/>
  <c r="D25" i="17"/>
  <c r="C25" i="17"/>
  <c r="B25" i="17"/>
  <c r="Y24" i="17"/>
  <c r="X24" i="17"/>
  <c r="W24" i="17"/>
  <c r="V24" i="17"/>
  <c r="R24" i="17"/>
  <c r="I24" i="17"/>
  <c r="O24" i="17" s="1"/>
  <c r="H24" i="17"/>
  <c r="G24" i="17"/>
  <c r="K24" i="17" s="1"/>
  <c r="F24" i="17"/>
  <c r="J24" i="17" s="1"/>
  <c r="E24" i="17"/>
  <c r="D24" i="17"/>
  <c r="C24" i="17"/>
  <c r="B24" i="17"/>
  <c r="Y23" i="17"/>
  <c r="X23" i="17"/>
  <c r="W23" i="17"/>
  <c r="V23" i="17"/>
  <c r="R23" i="17"/>
  <c r="I23" i="17"/>
  <c r="O23" i="17" s="1"/>
  <c r="H23" i="17"/>
  <c r="G23" i="17"/>
  <c r="K23" i="17" s="1"/>
  <c r="F23" i="17"/>
  <c r="J23" i="17" s="1"/>
  <c r="E23" i="17"/>
  <c r="D23" i="17"/>
  <c r="C23" i="17"/>
  <c r="B23" i="17"/>
  <c r="Y22" i="17"/>
  <c r="X22" i="17"/>
  <c r="W22" i="17"/>
  <c r="V22" i="17"/>
  <c r="R22" i="17"/>
  <c r="I22" i="17"/>
  <c r="O22" i="17" s="1"/>
  <c r="H22" i="17"/>
  <c r="G22" i="17"/>
  <c r="K22" i="17" s="1"/>
  <c r="F22" i="17"/>
  <c r="J22" i="17" s="1"/>
  <c r="E22" i="17"/>
  <c r="D22" i="17"/>
  <c r="C22" i="17"/>
  <c r="B22" i="17"/>
  <c r="Y21" i="17"/>
  <c r="X21" i="17"/>
  <c r="W21" i="17"/>
  <c r="V21" i="17"/>
  <c r="R21" i="17"/>
  <c r="I21" i="17"/>
  <c r="O21" i="17" s="1"/>
  <c r="H21" i="17"/>
  <c r="G21" i="17"/>
  <c r="K21" i="17" s="1"/>
  <c r="F21" i="17"/>
  <c r="J21" i="17" s="1"/>
  <c r="E21" i="17"/>
  <c r="D21" i="17"/>
  <c r="C21" i="17"/>
  <c r="B21" i="17"/>
  <c r="Y20" i="17"/>
  <c r="X20" i="17"/>
  <c r="W20" i="17"/>
  <c r="V20" i="17"/>
  <c r="R20" i="17"/>
  <c r="I20" i="17"/>
  <c r="O20" i="17" s="1"/>
  <c r="H20" i="17"/>
  <c r="G20" i="17"/>
  <c r="K20" i="17" s="1"/>
  <c r="F20" i="17"/>
  <c r="J20" i="17" s="1"/>
  <c r="E20" i="17"/>
  <c r="D20" i="17"/>
  <c r="C20" i="17"/>
  <c r="B20" i="17"/>
  <c r="Y19" i="17"/>
  <c r="X19" i="17"/>
  <c r="W19" i="17"/>
  <c r="V19" i="17"/>
  <c r="R19" i="17"/>
  <c r="I19" i="17"/>
  <c r="O19" i="17" s="1"/>
  <c r="H19" i="17"/>
  <c r="G19" i="17"/>
  <c r="K19" i="17" s="1"/>
  <c r="F19" i="17"/>
  <c r="J19" i="17" s="1"/>
  <c r="E19" i="17"/>
  <c r="D19" i="17"/>
  <c r="C19" i="17"/>
  <c r="B19" i="17"/>
  <c r="Y18" i="17"/>
  <c r="X18" i="17"/>
  <c r="W18" i="17"/>
  <c r="V18" i="17"/>
  <c r="R18" i="17"/>
  <c r="I18" i="17"/>
  <c r="O18" i="17" s="1"/>
  <c r="H18" i="17"/>
  <c r="G18" i="17"/>
  <c r="K18" i="17" s="1"/>
  <c r="F18" i="17"/>
  <c r="J18" i="17" s="1"/>
  <c r="E18" i="17"/>
  <c r="D18" i="17"/>
  <c r="C18" i="17"/>
  <c r="B18" i="17"/>
  <c r="Y17" i="17"/>
  <c r="X17" i="17"/>
  <c r="W17" i="17"/>
  <c r="V17" i="17"/>
  <c r="R17" i="17"/>
  <c r="I17" i="17"/>
  <c r="O17" i="17" s="1"/>
  <c r="H17" i="17"/>
  <c r="G17" i="17"/>
  <c r="K17" i="17" s="1"/>
  <c r="F17" i="17"/>
  <c r="J17" i="17" s="1"/>
  <c r="E17" i="17"/>
  <c r="D17" i="17"/>
  <c r="C17" i="17"/>
  <c r="B17" i="17"/>
  <c r="Y16" i="17"/>
  <c r="X16" i="17"/>
  <c r="W16" i="17"/>
  <c r="V16" i="17"/>
  <c r="R16" i="17"/>
  <c r="I16" i="17"/>
  <c r="O16" i="17" s="1"/>
  <c r="H16" i="17"/>
  <c r="G16" i="17"/>
  <c r="K16" i="17" s="1"/>
  <c r="F16" i="17"/>
  <c r="J16" i="17" s="1"/>
  <c r="E16" i="17"/>
  <c r="D16" i="17"/>
  <c r="C16" i="17"/>
  <c r="B16" i="17"/>
  <c r="Y15" i="17"/>
  <c r="X15" i="17"/>
  <c r="W15" i="17"/>
  <c r="V15" i="17"/>
  <c r="R15" i="17"/>
  <c r="I15" i="17"/>
  <c r="O15" i="17" s="1"/>
  <c r="H15" i="17"/>
  <c r="G15" i="17"/>
  <c r="K15" i="17" s="1"/>
  <c r="F15" i="17"/>
  <c r="J15" i="17" s="1"/>
  <c r="E15" i="17"/>
  <c r="D15" i="17"/>
  <c r="C15" i="17"/>
  <c r="B15" i="17"/>
  <c r="Y14" i="17"/>
  <c r="X14" i="17"/>
  <c r="W14" i="17"/>
  <c r="V14" i="17"/>
  <c r="R14" i="17"/>
  <c r="I14" i="17"/>
  <c r="O14" i="17" s="1"/>
  <c r="H14" i="17"/>
  <c r="G14" i="17"/>
  <c r="K14" i="17" s="1"/>
  <c r="F14" i="17"/>
  <c r="J14" i="17" s="1"/>
  <c r="E14" i="17"/>
  <c r="D14" i="17"/>
  <c r="C14" i="17"/>
  <c r="B14" i="17"/>
  <c r="Y13" i="17"/>
  <c r="X13" i="17"/>
  <c r="W13" i="17"/>
  <c r="V13" i="17"/>
  <c r="R13" i="17"/>
  <c r="I13" i="17"/>
  <c r="O13" i="17" s="1"/>
  <c r="H13" i="17"/>
  <c r="G13" i="17"/>
  <c r="K13" i="17" s="1"/>
  <c r="F13" i="17"/>
  <c r="J13" i="17" s="1"/>
  <c r="E13" i="17"/>
  <c r="D13" i="17"/>
  <c r="C13" i="17"/>
  <c r="B13" i="17"/>
  <c r="Y12" i="17"/>
  <c r="X12" i="17"/>
  <c r="W12" i="17"/>
  <c r="V12" i="17"/>
  <c r="I12" i="17"/>
  <c r="O12" i="17" s="1"/>
  <c r="H12" i="17"/>
  <c r="G12" i="17"/>
  <c r="K12" i="17" s="1"/>
  <c r="F12" i="17"/>
  <c r="J12" i="17" s="1"/>
  <c r="E12" i="17"/>
  <c r="D12" i="17"/>
  <c r="C12" i="17"/>
  <c r="B12" i="17"/>
  <c r="Y11" i="17"/>
  <c r="X11" i="17"/>
  <c r="W11" i="17"/>
  <c r="V11" i="17"/>
  <c r="I11" i="17"/>
  <c r="O11" i="17" s="1"/>
  <c r="H11" i="17"/>
  <c r="G11" i="17"/>
  <c r="K11" i="17" s="1"/>
  <c r="F11" i="17"/>
  <c r="J11" i="17" s="1"/>
  <c r="E11" i="17"/>
  <c r="D11" i="17"/>
  <c r="C11" i="17"/>
  <c r="B11" i="17"/>
  <c r="R4" i="17"/>
  <c r="I12" i="15"/>
  <c r="O12" i="15" s="1"/>
  <c r="I13" i="15"/>
  <c r="O13" i="15" s="1"/>
  <c r="I14" i="15"/>
  <c r="O14" i="15" s="1"/>
  <c r="I15" i="15"/>
  <c r="O15" i="15" s="1"/>
  <c r="I16" i="15"/>
  <c r="O16" i="15" s="1"/>
  <c r="I17" i="15"/>
  <c r="O17" i="15" s="1"/>
  <c r="I18" i="15"/>
  <c r="O18" i="15" s="1"/>
  <c r="I19" i="15"/>
  <c r="O19" i="15" s="1"/>
  <c r="I20" i="15"/>
  <c r="O20" i="15" s="1"/>
  <c r="I21" i="15"/>
  <c r="O21" i="15" s="1"/>
  <c r="I22" i="15"/>
  <c r="O22" i="15" s="1"/>
  <c r="I23" i="15"/>
  <c r="O23" i="15" s="1"/>
  <c r="I24" i="15"/>
  <c r="O24" i="15" s="1"/>
  <c r="I25" i="15"/>
  <c r="O25" i="15" s="1"/>
  <c r="I26" i="15"/>
  <c r="O26" i="15" s="1"/>
  <c r="I27" i="15"/>
  <c r="O27" i="15" s="1"/>
  <c r="I28" i="15"/>
  <c r="O28" i="15" s="1"/>
  <c r="I29" i="15"/>
  <c r="O29" i="15" s="1"/>
  <c r="I30" i="15"/>
  <c r="O30" i="15" s="1"/>
  <c r="I11" i="15"/>
  <c r="O11" i="15" s="1"/>
  <c r="H12" i="15"/>
  <c r="H13" i="15"/>
  <c r="H14" i="15"/>
  <c r="H15" i="15"/>
  <c r="H16" i="15"/>
  <c r="H17" i="15"/>
  <c r="H18" i="15"/>
  <c r="H19" i="15"/>
  <c r="H20" i="15"/>
  <c r="H21" i="15"/>
  <c r="H22" i="15"/>
  <c r="H23" i="15"/>
  <c r="H24" i="15"/>
  <c r="H25" i="15"/>
  <c r="H26" i="15"/>
  <c r="H27" i="15"/>
  <c r="H28" i="15"/>
  <c r="H29" i="15"/>
  <c r="H30" i="15"/>
  <c r="H11" i="15"/>
  <c r="G12" i="15"/>
  <c r="N12" i="15" s="1"/>
  <c r="G13" i="15"/>
  <c r="N13" i="15" s="1"/>
  <c r="G14" i="15"/>
  <c r="N14" i="15" s="1"/>
  <c r="G15" i="15"/>
  <c r="N15" i="15" s="1"/>
  <c r="G16" i="15"/>
  <c r="N16" i="15" s="1"/>
  <c r="G17" i="15"/>
  <c r="N17" i="15" s="1"/>
  <c r="G18" i="15"/>
  <c r="N18" i="15" s="1"/>
  <c r="G19" i="15"/>
  <c r="N19" i="15" s="1"/>
  <c r="G20" i="15"/>
  <c r="N20" i="15" s="1"/>
  <c r="G21" i="15"/>
  <c r="K21" i="15" s="1"/>
  <c r="G22" i="15"/>
  <c r="N22" i="15" s="1"/>
  <c r="G23" i="15"/>
  <c r="N23" i="15" s="1"/>
  <c r="G24" i="15"/>
  <c r="K24" i="15" s="1"/>
  <c r="G25" i="15"/>
  <c r="N25" i="15" s="1"/>
  <c r="G26" i="15"/>
  <c r="K26" i="15" s="1"/>
  <c r="G27" i="15"/>
  <c r="K27" i="15" s="1"/>
  <c r="G28" i="15"/>
  <c r="K28" i="15" s="1"/>
  <c r="G29" i="15"/>
  <c r="N29" i="15" s="1"/>
  <c r="G30" i="15"/>
  <c r="N30" i="15" s="1"/>
  <c r="G11" i="15"/>
  <c r="K11" i="15" s="1"/>
  <c r="F12" i="15"/>
  <c r="F13" i="15"/>
  <c r="J13" i="15" s="1"/>
  <c r="F14" i="15"/>
  <c r="J14" i="15" s="1"/>
  <c r="F15" i="15"/>
  <c r="J15" i="15" s="1"/>
  <c r="F16" i="15"/>
  <c r="J16" i="15" s="1"/>
  <c r="F17" i="15"/>
  <c r="F18" i="15"/>
  <c r="L18" i="15" s="1"/>
  <c r="F19" i="15"/>
  <c r="J19" i="15" s="1"/>
  <c r="F20" i="15"/>
  <c r="L20" i="15" s="1"/>
  <c r="F21" i="15"/>
  <c r="L21" i="15" s="1"/>
  <c r="F22" i="15"/>
  <c r="F23" i="15"/>
  <c r="L23" i="15" s="1"/>
  <c r="F24" i="15"/>
  <c r="J24" i="15" s="1"/>
  <c r="F25" i="15"/>
  <c r="L25" i="15" s="1"/>
  <c r="F26" i="15"/>
  <c r="J26" i="15" s="1"/>
  <c r="F27" i="15"/>
  <c r="J27" i="15" s="1"/>
  <c r="F28" i="15"/>
  <c r="F29" i="15"/>
  <c r="F30" i="15"/>
  <c r="F11" i="15"/>
  <c r="E12" i="15"/>
  <c r="E13" i="15"/>
  <c r="E14" i="15"/>
  <c r="E15" i="15"/>
  <c r="E16" i="15"/>
  <c r="E17" i="15"/>
  <c r="E18" i="15"/>
  <c r="E19" i="15"/>
  <c r="E20" i="15"/>
  <c r="E21" i="15"/>
  <c r="E22" i="15"/>
  <c r="E23" i="15"/>
  <c r="E24" i="15"/>
  <c r="E25" i="15"/>
  <c r="E26" i="15"/>
  <c r="E27" i="15"/>
  <c r="E28" i="15"/>
  <c r="E29" i="15"/>
  <c r="E30" i="15"/>
  <c r="E11" i="15"/>
  <c r="D12" i="15"/>
  <c r="D13" i="15"/>
  <c r="D14" i="15"/>
  <c r="D15" i="15"/>
  <c r="D16" i="15"/>
  <c r="U16" i="15" s="1"/>
  <c r="D17" i="15"/>
  <c r="U17" i="15" s="1"/>
  <c r="D18" i="15"/>
  <c r="D19" i="15"/>
  <c r="U19" i="15" s="1"/>
  <c r="D20" i="15"/>
  <c r="D21" i="15"/>
  <c r="D22" i="15"/>
  <c r="D23" i="15"/>
  <c r="D24" i="15"/>
  <c r="D25" i="15"/>
  <c r="D26" i="15"/>
  <c r="D27" i="15"/>
  <c r="D28" i="15"/>
  <c r="U28" i="15" s="1"/>
  <c r="D29" i="15"/>
  <c r="U29" i="15" s="1"/>
  <c r="D30" i="15"/>
  <c r="D11" i="15"/>
  <c r="C12" i="15"/>
  <c r="C13" i="15"/>
  <c r="C14" i="15"/>
  <c r="C15" i="15"/>
  <c r="C16" i="15"/>
  <c r="C17" i="15"/>
  <c r="C18" i="15"/>
  <c r="C19" i="15"/>
  <c r="C20" i="15"/>
  <c r="C21" i="15"/>
  <c r="C22" i="15"/>
  <c r="C23" i="15"/>
  <c r="C24" i="15"/>
  <c r="C25" i="15"/>
  <c r="C26" i="15"/>
  <c r="C27" i="15"/>
  <c r="C28" i="15"/>
  <c r="C29" i="15"/>
  <c r="C30" i="15"/>
  <c r="C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11" i="15"/>
  <c r="X37" i="15"/>
  <c r="Y12" i="15"/>
  <c r="Y13" i="15"/>
  <c r="Y14" i="15"/>
  <c r="Y15" i="15"/>
  <c r="Y16" i="15"/>
  <c r="Y17" i="15"/>
  <c r="Y18" i="15"/>
  <c r="Y19" i="15"/>
  <c r="Y20" i="15"/>
  <c r="Y21" i="15"/>
  <c r="Y22" i="15"/>
  <c r="Y23" i="15"/>
  <c r="Y24" i="15"/>
  <c r="Y25" i="15"/>
  <c r="Y26" i="15"/>
  <c r="Y27" i="15"/>
  <c r="Y28" i="15"/>
  <c r="Y29" i="15"/>
  <c r="Y30" i="15"/>
  <c r="Y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11" i="15"/>
  <c r="W12" i="15"/>
  <c r="W13" i="15"/>
  <c r="W14" i="15"/>
  <c r="W15" i="15"/>
  <c r="W16" i="15"/>
  <c r="W17" i="15"/>
  <c r="W18" i="15"/>
  <c r="W19" i="15"/>
  <c r="W20" i="15"/>
  <c r="W21" i="15"/>
  <c r="W22" i="15"/>
  <c r="W23" i="15"/>
  <c r="W24" i="15"/>
  <c r="W25" i="15"/>
  <c r="W26" i="15"/>
  <c r="W27" i="15"/>
  <c r="W28" i="15"/>
  <c r="W29" i="15"/>
  <c r="W30" i="15"/>
  <c r="W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11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4" i="15"/>
  <c r="Y1" i="15"/>
  <c r="W6" i="15"/>
  <c r="A30" i="15"/>
  <c r="A29" i="15"/>
  <c r="A28" i="15"/>
  <c r="A27" i="15"/>
  <c r="A26" i="15"/>
  <c r="A25" i="15"/>
  <c r="A24" i="15"/>
  <c r="A23" i="15"/>
  <c r="A22" i="15"/>
  <c r="A21" i="15"/>
  <c r="A20" i="15"/>
  <c r="A19" i="15"/>
  <c r="A18" i="15"/>
  <c r="A17" i="15"/>
  <c r="A16" i="15"/>
  <c r="A15" i="15"/>
  <c r="A14" i="15"/>
  <c r="A13" i="15"/>
  <c r="A12" i="15"/>
  <c r="A11" i="15"/>
  <c r="W2" i="15"/>
  <c r="B19" i="7"/>
  <c r="B18" i="7"/>
  <c r="B17" i="7"/>
  <c r="B16" i="7"/>
  <c r="B14" i="7"/>
  <c r="B13" i="7"/>
  <c r="F30" i="9" a="1"/>
  <c r="F16" i="9" a="1"/>
  <c r="U25" i="15" l="1"/>
  <c r="L17" i="15"/>
  <c r="A30" i="17"/>
  <c r="U12" i="15"/>
  <c r="U18" i="15"/>
  <c r="U27" i="15"/>
  <c r="U30" i="15"/>
  <c r="U14" i="15"/>
  <c r="L22" i="15"/>
  <c r="U24" i="15"/>
  <c r="L11" i="15"/>
  <c r="L30" i="15"/>
  <c r="U21" i="15"/>
  <c r="N21" i="15"/>
  <c r="U20" i="15"/>
  <c r="L28" i="15"/>
  <c r="L12" i="15"/>
  <c r="U13" i="15"/>
  <c r="U23" i="15"/>
  <c r="O16" i="30"/>
  <c r="O30" i="30"/>
  <c r="U15" i="15"/>
  <c r="U11" i="15"/>
  <c r="F16" i="9"/>
  <c r="O16" i="9" s="1"/>
  <c r="F30" i="9"/>
  <c r="O30" i="9" s="1"/>
  <c r="A14" i="17"/>
  <c r="J17" i="15"/>
  <c r="A16" i="17"/>
  <c r="A22" i="17"/>
  <c r="A18" i="17"/>
  <c r="A24" i="17"/>
  <c r="N24" i="15"/>
  <c r="L13" i="15"/>
  <c r="A12" i="17"/>
  <c r="A20" i="17"/>
  <c r="K20" i="15"/>
  <c r="K12" i="15"/>
  <c r="J28" i="15"/>
  <c r="A28" i="17"/>
  <c r="A26" i="17"/>
  <c r="K29" i="15"/>
  <c r="L29" i="15"/>
  <c r="J25" i="15"/>
  <c r="K16" i="15"/>
  <c r="K25" i="15"/>
  <c r="K13" i="15"/>
  <c r="J21" i="15"/>
  <c r="J29" i="15"/>
  <c r="A11" i="17"/>
  <c r="A13" i="17"/>
  <c r="A15" i="17"/>
  <c r="A17" i="17"/>
  <c r="A19" i="17"/>
  <c r="A21" i="17"/>
  <c r="A23" i="17"/>
  <c r="A25" i="17"/>
  <c r="A27" i="17"/>
  <c r="U18" i="18"/>
  <c r="U20" i="18"/>
  <c r="U22" i="18"/>
  <c r="U24" i="18"/>
  <c r="U26" i="18"/>
  <c r="U28" i="18"/>
  <c r="U30" i="18"/>
  <c r="K17" i="15"/>
  <c r="U19" i="18"/>
  <c r="N19" i="18"/>
  <c r="N11" i="15"/>
  <c r="N18" i="18"/>
  <c r="N17" i="18"/>
  <c r="N29" i="18"/>
  <c r="U11" i="18"/>
  <c r="U13" i="18"/>
  <c r="U15" i="18"/>
  <c r="U17" i="18"/>
  <c r="N28" i="18"/>
  <c r="U29" i="18"/>
  <c r="L11" i="18"/>
  <c r="L15" i="18"/>
  <c r="L22" i="18"/>
  <c r="L26" i="18"/>
  <c r="N28" i="15"/>
  <c r="U12" i="18"/>
  <c r="L14" i="18"/>
  <c r="U16" i="18"/>
  <c r="L21" i="18"/>
  <c r="U23" i="18"/>
  <c r="L25" i="18"/>
  <c r="U27" i="18"/>
  <c r="L13" i="18"/>
  <c r="L17" i="18"/>
  <c r="L18" i="18"/>
  <c r="L19" i="18"/>
  <c r="L20" i="18"/>
  <c r="L24" i="18"/>
  <c r="L28" i="18"/>
  <c r="L29" i="18"/>
  <c r="L30" i="18"/>
  <c r="L12" i="18"/>
  <c r="U14" i="18"/>
  <c r="L16" i="18"/>
  <c r="U21" i="18"/>
  <c r="L23" i="18"/>
  <c r="U25" i="18"/>
  <c r="L27" i="18"/>
  <c r="N11" i="18"/>
  <c r="N12" i="18"/>
  <c r="N13" i="18"/>
  <c r="N14" i="18"/>
  <c r="N15" i="18"/>
  <c r="N16" i="18"/>
  <c r="N20" i="18"/>
  <c r="N21" i="18"/>
  <c r="N22" i="18"/>
  <c r="N23" i="18"/>
  <c r="N24" i="18"/>
  <c r="N25" i="18"/>
  <c r="N26" i="18"/>
  <c r="N27" i="18"/>
  <c r="N30" i="18"/>
  <c r="J12" i="15"/>
  <c r="K14" i="15"/>
  <c r="L16" i="15"/>
  <c r="J20" i="15"/>
  <c r="J22" i="15"/>
  <c r="L26" i="15"/>
  <c r="L11" i="17"/>
  <c r="L12" i="17"/>
  <c r="L13" i="17"/>
  <c r="L14" i="17"/>
  <c r="L15" i="17"/>
  <c r="L16" i="17"/>
  <c r="L17" i="17"/>
  <c r="L18" i="17"/>
  <c r="L19" i="17"/>
  <c r="L20" i="17"/>
  <c r="L21" i="17"/>
  <c r="L22" i="17"/>
  <c r="L23" i="17"/>
  <c r="L24" i="17"/>
  <c r="L25" i="17"/>
  <c r="L26" i="17"/>
  <c r="L27" i="17"/>
  <c r="L28" i="17"/>
  <c r="L29" i="17"/>
  <c r="L30" i="17"/>
  <c r="N26" i="15"/>
  <c r="J18" i="15"/>
  <c r="L24" i="15"/>
  <c r="J30" i="15"/>
  <c r="U11" i="17"/>
  <c r="N11" i="17"/>
  <c r="U12" i="17"/>
  <c r="N12" i="17"/>
  <c r="U13" i="17"/>
  <c r="N13" i="17"/>
  <c r="U14" i="17"/>
  <c r="N14" i="17"/>
  <c r="U15" i="17"/>
  <c r="N15" i="17"/>
  <c r="U16" i="17"/>
  <c r="N16" i="17"/>
  <c r="U17" i="17"/>
  <c r="N17" i="17"/>
  <c r="U18" i="17"/>
  <c r="N18" i="17"/>
  <c r="U19" i="17"/>
  <c r="N19" i="17"/>
  <c r="U20" i="17"/>
  <c r="N20" i="17"/>
  <c r="U21" i="17"/>
  <c r="N21" i="17"/>
  <c r="U22" i="17"/>
  <c r="N22" i="17"/>
  <c r="U23" i="17"/>
  <c r="N23" i="17"/>
  <c r="U24" i="17"/>
  <c r="N24" i="17"/>
  <c r="U25" i="17"/>
  <c r="N25" i="17"/>
  <c r="U26" i="17"/>
  <c r="N26" i="17"/>
  <c r="U27" i="17"/>
  <c r="N27" i="17"/>
  <c r="U28" i="17"/>
  <c r="N28" i="17"/>
  <c r="U29" i="17"/>
  <c r="N29" i="17"/>
  <c r="U30" i="17"/>
  <c r="N30" i="17"/>
  <c r="U26" i="15"/>
  <c r="U22" i="15"/>
  <c r="J11" i="15"/>
  <c r="N27" i="15"/>
  <c r="K23" i="15"/>
  <c r="L14" i="15"/>
  <c r="K15" i="15"/>
  <c r="K18" i="15"/>
  <c r="K19" i="15"/>
  <c r="K22" i="15"/>
  <c r="K30" i="15"/>
  <c r="J23" i="15"/>
  <c r="L27" i="15"/>
  <c r="L15" i="15"/>
  <c r="L19" i="15"/>
  <c r="C42" i="7"/>
  <c r="P14" i="1" l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H214" i="9" a="1"/>
  <c r="H200" i="9" a="1"/>
  <c r="H172" i="9" a="1"/>
  <c r="H52" i="9" a="1"/>
  <c r="H106" i="9" a="1"/>
  <c r="H64" i="9" a="1"/>
  <c r="H186" i="9" a="1"/>
  <c r="H240" i="9" a="1"/>
  <c r="H146" i="9" a="1"/>
  <c r="H268" i="9" a="1"/>
  <c r="H160" i="9" a="1"/>
  <c r="H226" i="9" a="1"/>
  <c r="H78" i="9" a="1"/>
  <c r="H92" i="9" a="1"/>
  <c r="H118" i="9" a="1"/>
  <c r="H254" i="9" a="1"/>
  <c r="H132" i="9" a="1"/>
  <c r="H254" i="9" l="1"/>
  <c r="Q254" i="9" s="1"/>
  <c r="H146" i="9"/>
  <c r="Q146" i="9" s="1"/>
  <c r="H200" i="9"/>
  <c r="Q200" i="9" s="1"/>
  <c r="H240" i="9"/>
  <c r="Q240" i="9" s="1"/>
  <c r="H186" i="9"/>
  <c r="Q186" i="9" s="1"/>
  <c r="H226" i="9"/>
  <c r="Q226" i="9" s="1"/>
  <c r="H172" i="9"/>
  <c r="Q172" i="9" s="1"/>
  <c r="H268" i="9"/>
  <c r="Q268" i="9" s="1"/>
  <c r="H214" i="9"/>
  <c r="Q214" i="9" s="1"/>
  <c r="H160" i="9"/>
  <c r="Q160" i="9" s="1"/>
  <c r="BA29" i="1"/>
  <c r="BA21" i="1"/>
  <c r="BA25" i="1"/>
  <c r="BA28" i="1"/>
  <c r="BA24" i="1"/>
  <c r="BA27" i="1"/>
  <c r="BA23" i="1"/>
  <c r="BA26" i="1"/>
  <c r="BA22" i="1"/>
  <c r="H118" i="9"/>
  <c r="Q118" i="9" s="1"/>
  <c r="H92" i="9"/>
  <c r="Q92" i="9" s="1"/>
  <c r="H132" i="9"/>
  <c r="Q132" i="9" s="1"/>
  <c r="H78" i="9"/>
  <c r="Q78" i="9" s="1"/>
  <c r="H64" i="9"/>
  <c r="Q64" i="9" s="1"/>
  <c r="H106" i="9"/>
  <c r="Q106" i="9" s="1"/>
  <c r="H52" i="9"/>
  <c r="Q52" i="9" s="1"/>
  <c r="BA19" i="1"/>
  <c r="AA19" i="1" s="1"/>
  <c r="BA17" i="1"/>
  <c r="AA17" i="1" s="1"/>
  <c r="BA20" i="1"/>
  <c r="AA20" i="1" s="1"/>
  <c r="BA16" i="1"/>
  <c r="AA16" i="1" s="1"/>
  <c r="BA15" i="1"/>
  <c r="AA15" i="1" s="1"/>
  <c r="BA18" i="1"/>
  <c r="BB18" i="1" s="1"/>
  <c r="BA14" i="1"/>
  <c r="AA14" i="1" s="1"/>
  <c r="Q172" i="30"/>
  <c r="Q64" i="30"/>
  <c r="Q214" i="30"/>
  <c r="Q254" i="30"/>
  <c r="Q146" i="30"/>
  <c r="Q92" i="30"/>
  <c r="Q226" i="30"/>
  <c r="Q118" i="30"/>
  <c r="Q268" i="30"/>
  <c r="Q160" i="30"/>
  <c r="Q52" i="30"/>
  <c r="Q200" i="30"/>
  <c r="Q240" i="30"/>
  <c r="Q186" i="30"/>
  <c r="Q132" i="30"/>
  <c r="Q78" i="30"/>
  <c r="Q106" i="30"/>
  <c r="R12" i="17"/>
  <c r="R12" i="18"/>
  <c r="R12" i="15"/>
  <c r="P30" i="18"/>
  <c r="P30" i="17"/>
  <c r="P30" i="15"/>
  <c r="P26" i="18"/>
  <c r="P26" i="15"/>
  <c r="P26" i="17"/>
  <c r="P22" i="18"/>
  <c r="P22" i="17"/>
  <c r="P22" i="15"/>
  <c r="P18" i="18"/>
  <c r="P18" i="17"/>
  <c r="P18" i="15"/>
  <c r="P14" i="18"/>
  <c r="P14" i="15"/>
  <c r="P14" i="17"/>
  <c r="P29" i="17"/>
  <c r="P29" i="15"/>
  <c r="P29" i="18"/>
  <c r="P21" i="17"/>
  <c r="P21" i="15"/>
  <c r="P21" i="18"/>
  <c r="P17" i="15"/>
  <c r="P17" i="17"/>
  <c r="P17" i="18"/>
  <c r="P13" i="17"/>
  <c r="P13" i="18"/>
  <c r="P13" i="15"/>
  <c r="P28" i="15"/>
  <c r="P28" i="18"/>
  <c r="P28" i="17"/>
  <c r="P24" i="17"/>
  <c r="P24" i="15"/>
  <c r="P24" i="18"/>
  <c r="P20" i="15"/>
  <c r="P20" i="18"/>
  <c r="P20" i="17"/>
  <c r="P16" i="17"/>
  <c r="P16" i="15"/>
  <c r="P16" i="18"/>
  <c r="P12" i="15"/>
  <c r="P12" i="18"/>
  <c r="P12" i="17"/>
  <c r="P27" i="18"/>
  <c r="P27" i="17"/>
  <c r="P27" i="15"/>
  <c r="P23" i="18"/>
  <c r="P23" i="17"/>
  <c r="P23" i="15"/>
  <c r="P19" i="18"/>
  <c r="P19" i="17"/>
  <c r="P19" i="15"/>
  <c r="P15" i="18"/>
  <c r="P15" i="17"/>
  <c r="P15" i="15"/>
  <c r="P25" i="17"/>
  <c r="P25" i="18"/>
  <c r="P25" i="15"/>
  <c r="S28" i="17"/>
  <c r="S28" i="18"/>
  <c r="S28" i="15"/>
  <c r="S24" i="15"/>
  <c r="S24" i="18"/>
  <c r="S24" i="17"/>
  <c r="S27" i="17"/>
  <c r="S27" i="15"/>
  <c r="S27" i="18"/>
  <c r="S19" i="17"/>
  <c r="S19" i="15"/>
  <c r="S19" i="18"/>
  <c r="S26" i="15"/>
  <c r="S26" i="18"/>
  <c r="S26" i="17"/>
  <c r="S22" i="15"/>
  <c r="S22" i="18"/>
  <c r="S22" i="17"/>
  <c r="S18" i="18"/>
  <c r="S18" i="15"/>
  <c r="S18" i="17"/>
  <c r="S20" i="17"/>
  <c r="S20" i="18"/>
  <c r="S20" i="15"/>
  <c r="S23" i="17"/>
  <c r="S23" i="15"/>
  <c r="S23" i="18"/>
  <c r="S29" i="15"/>
  <c r="S29" i="18"/>
  <c r="S29" i="17"/>
  <c r="S25" i="15"/>
  <c r="S25" i="17"/>
  <c r="S25" i="18"/>
  <c r="S21" i="15"/>
  <c r="S21" i="18"/>
  <c r="S21" i="17"/>
  <c r="S17" i="15"/>
  <c r="S17" i="17"/>
  <c r="S17" i="18"/>
  <c r="P11" i="18"/>
  <c r="P11" i="15"/>
  <c r="P11" i="17"/>
  <c r="R11" i="17"/>
  <c r="R11" i="18"/>
  <c r="R11" i="15"/>
  <c r="F112" i="13"/>
  <c r="F113" i="13"/>
  <c r="F114" i="13"/>
  <c r="F115" i="13"/>
  <c r="F116" i="13"/>
  <c r="F117" i="13"/>
  <c r="F89" i="13"/>
  <c r="F90" i="13"/>
  <c r="F91" i="13"/>
  <c r="F88" i="13"/>
  <c r="U20" i="1"/>
  <c r="M36" i="13"/>
  <c r="M37" i="13"/>
  <c r="M38" i="13"/>
  <c r="M39" i="13"/>
  <c r="M40" i="13"/>
  <c r="M41" i="13"/>
  <c r="M42" i="13"/>
  <c r="M43" i="13"/>
  <c r="M44" i="13"/>
  <c r="M45" i="13"/>
  <c r="M46" i="13"/>
  <c r="M47" i="13"/>
  <c r="M48" i="13"/>
  <c r="M49" i="13"/>
  <c r="M50" i="13"/>
  <c r="M51" i="13"/>
  <c r="M52" i="13"/>
  <c r="M53" i="13"/>
  <c r="M54" i="13"/>
  <c r="M35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29" i="13"/>
  <c r="Q18" i="1" l="1"/>
  <c r="BB17" i="1"/>
  <c r="Q17" i="1" s="1"/>
  <c r="BB23" i="1"/>
  <c r="Q23" i="1" s="1"/>
  <c r="AA23" i="1"/>
  <c r="AA18" i="1"/>
  <c r="BB15" i="1"/>
  <c r="Q15" i="1" s="1"/>
  <c r="BB19" i="1"/>
  <c r="Q19" i="1" s="1"/>
  <c r="BB22" i="1"/>
  <c r="Q22" i="1" s="1"/>
  <c r="AA22" i="1"/>
  <c r="BB27" i="1"/>
  <c r="Q27" i="1" s="1"/>
  <c r="AA27" i="1"/>
  <c r="BB21" i="1"/>
  <c r="Q21" i="1" s="1"/>
  <c r="AA21" i="1"/>
  <c r="BB16" i="1"/>
  <c r="Q16" i="1" s="1"/>
  <c r="BB26" i="1"/>
  <c r="Q26" i="1" s="1"/>
  <c r="AA26" i="1"/>
  <c r="BB24" i="1"/>
  <c r="Q24" i="1" s="1"/>
  <c r="AA24" i="1"/>
  <c r="BB29" i="1"/>
  <c r="Q29" i="1" s="1"/>
  <c r="AA29" i="1"/>
  <c r="BB20" i="1"/>
  <c r="Q20" i="1" s="1"/>
  <c r="BB28" i="1"/>
  <c r="Q28" i="1" s="1"/>
  <c r="AA28" i="1"/>
  <c r="BB14" i="1"/>
  <c r="Q14" i="1" s="1"/>
  <c r="BB25" i="1"/>
  <c r="Q25" i="1"/>
  <c r="AA25" i="1"/>
  <c r="O74" i="13"/>
  <c r="O84" i="13"/>
  <c r="O55" i="13"/>
  <c r="O77" i="13"/>
  <c r="O87" i="13"/>
  <c r="O36" i="13"/>
  <c r="O52" i="13"/>
  <c r="O71" i="13"/>
  <c r="O37" i="13"/>
  <c r="O41" i="13"/>
  <c r="O45" i="13"/>
  <c r="O49" i="13"/>
  <c r="O53" i="13"/>
  <c r="O57" i="13"/>
  <c r="O40" i="13"/>
  <c r="O44" i="13"/>
  <c r="O56" i="13"/>
  <c r="O38" i="13"/>
  <c r="O42" i="13"/>
  <c r="O46" i="13"/>
  <c r="O50" i="13"/>
  <c r="O54" i="13"/>
  <c r="O79" i="13"/>
  <c r="O90" i="13"/>
  <c r="O75" i="13"/>
  <c r="O91" i="13"/>
  <c r="O88" i="13"/>
  <c r="O48" i="13"/>
  <c r="O39" i="13"/>
  <c r="O43" i="13"/>
  <c r="O47" i="13"/>
  <c r="O51" i="13"/>
  <c r="O81" i="13"/>
  <c r="O92" i="13"/>
  <c r="O73" i="13"/>
  <c r="O78" i="13"/>
  <c r="O80" i="13"/>
  <c r="O85" i="13"/>
  <c r="O83" i="13"/>
  <c r="O89" i="13"/>
  <c r="O72" i="13"/>
  <c r="O76" i="13"/>
  <c r="O82" i="13"/>
  <c r="O86" i="13"/>
  <c r="C149" i="13" a="1"/>
  <c r="C149" i="13" s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D248" i="9" a="1"/>
  <c r="D234" i="9" a="1"/>
  <c r="D220" i="9" a="1"/>
  <c r="D208" i="9" a="1"/>
  <c r="D194" i="9" a="1"/>
  <c r="D180" i="9" a="1"/>
  <c r="D166" i="9" a="1"/>
  <c r="D154" i="9" a="1"/>
  <c r="D140" i="9" a="1"/>
  <c r="D126" i="9" a="1"/>
  <c r="D112" i="9" a="1"/>
  <c r="D100" i="9" a="1"/>
  <c r="D86" i="9" a="1"/>
  <c r="D72" i="9" a="1"/>
  <c r="D58" i="9" a="1"/>
  <c r="D46" i="9" a="1"/>
  <c r="I87" i="9" a="1"/>
  <c r="I157" i="9" a="1"/>
  <c r="I127" i="9" a="1"/>
  <c r="I49" i="9" a="1"/>
  <c r="I35" i="9" a="1"/>
  <c r="I47" i="9" a="1"/>
  <c r="I89" i="9" a="1"/>
  <c r="I101" i="9" a="1"/>
  <c r="I143" i="9" a="1"/>
  <c r="I223" i="9" a="1"/>
  <c r="I237" i="9" a="1"/>
  <c r="I209" i="9" a="1"/>
  <c r="I59" i="9" a="1"/>
  <c r="I75" i="9" a="1"/>
  <c r="I61" i="9" a="1"/>
  <c r="I221" i="9" a="1"/>
  <c r="I7" i="9" a="1"/>
  <c r="I155" i="9" a="1"/>
  <c r="I113" i="9" a="1"/>
  <c r="I129" i="9" a="1"/>
  <c r="I21" i="9" a="1"/>
  <c r="I103" i="9" a="1"/>
  <c r="I211" i="9" a="1"/>
  <c r="I181" i="9" a="1"/>
  <c r="I197" i="9" a="1"/>
  <c r="I167" i="9" a="1"/>
  <c r="I141" i="9" a="1"/>
  <c r="I249" i="9" a="1"/>
  <c r="I183" i="9" a="1"/>
  <c r="I265" i="9" a="1"/>
  <c r="I115" i="9" a="1"/>
  <c r="I73" i="9" a="1"/>
  <c r="I235" i="9" a="1"/>
  <c r="I169" i="9" a="1"/>
  <c r="I195" i="9" a="1"/>
  <c r="I251" i="9" a="1"/>
  <c r="D100" i="9" l="1"/>
  <c r="I101" i="9"/>
  <c r="D126" i="9"/>
  <c r="D58" i="9"/>
  <c r="D220" i="9"/>
  <c r="D194" i="9"/>
  <c r="D180" i="9"/>
  <c r="D140" i="9"/>
  <c r="D112" i="9"/>
  <c r="D86" i="9"/>
  <c r="D154" i="9"/>
  <c r="D166" i="9"/>
  <c r="D208" i="9"/>
  <c r="D234" i="9"/>
  <c r="D248" i="9"/>
  <c r="D72" i="9"/>
  <c r="D46" i="9"/>
  <c r="I195" i="9"/>
  <c r="I181" i="9"/>
  <c r="I141" i="9"/>
  <c r="I113" i="9"/>
  <c r="I87" i="9"/>
  <c r="I235" i="9"/>
  <c r="I249" i="9"/>
  <c r="I73" i="9"/>
  <c r="I47" i="9"/>
  <c r="I127" i="9"/>
  <c r="I155" i="9"/>
  <c r="I59" i="9"/>
  <c r="I167" i="9"/>
  <c r="I209" i="9"/>
  <c r="I221" i="9"/>
  <c r="R75" i="30"/>
  <c r="R183" i="30"/>
  <c r="R35" i="30"/>
  <c r="R89" i="30"/>
  <c r="R143" i="30"/>
  <c r="R197" i="30"/>
  <c r="R251" i="30"/>
  <c r="R21" i="30"/>
  <c r="R129" i="30"/>
  <c r="R237" i="30"/>
  <c r="R49" i="30"/>
  <c r="R103" i="30"/>
  <c r="R157" i="30"/>
  <c r="R211" i="30"/>
  <c r="R265" i="30"/>
  <c r="R7" i="30"/>
  <c r="R61" i="30"/>
  <c r="R115" i="30"/>
  <c r="R169" i="30"/>
  <c r="R223" i="30"/>
  <c r="I7" i="9"/>
  <c r="R7" i="9" s="1"/>
  <c r="I61" i="9"/>
  <c r="R61" i="9" s="1"/>
  <c r="I21" i="9"/>
  <c r="R21" i="9" s="1"/>
  <c r="I75" i="9"/>
  <c r="R75" i="9" s="1"/>
  <c r="I129" i="9"/>
  <c r="R129" i="9" s="1"/>
  <c r="I183" i="9"/>
  <c r="R183" i="9" s="1"/>
  <c r="I237" i="9"/>
  <c r="R237" i="9" s="1"/>
  <c r="I35" i="9"/>
  <c r="R35" i="9" s="1"/>
  <c r="I89" i="9"/>
  <c r="R89" i="9" s="1"/>
  <c r="I143" i="9"/>
  <c r="R143" i="9" s="1"/>
  <c r="I197" i="9"/>
  <c r="R197" i="9" s="1"/>
  <c r="I251" i="9"/>
  <c r="R251" i="9" s="1"/>
  <c r="I115" i="9"/>
  <c r="R115" i="9" s="1"/>
  <c r="I223" i="9"/>
  <c r="R223" i="9" s="1"/>
  <c r="I49" i="9"/>
  <c r="R49" i="9" s="1"/>
  <c r="I103" i="9"/>
  <c r="R103" i="9" s="1"/>
  <c r="I157" i="9"/>
  <c r="R157" i="9" s="1"/>
  <c r="I211" i="9"/>
  <c r="R211" i="9" s="1"/>
  <c r="I265" i="9"/>
  <c r="R265" i="9" s="1"/>
  <c r="I169" i="9"/>
  <c r="R169" i="9" s="1"/>
  <c r="I69" i="13" l="1"/>
  <c r="I83" i="13"/>
  <c r="F108" i="13" l="1"/>
  <c r="M27" i="17"/>
  <c r="M27" i="15"/>
  <c r="M27" i="18"/>
  <c r="F104" i="13"/>
  <c r="M23" i="17"/>
  <c r="M23" i="15"/>
  <c r="M23" i="18"/>
  <c r="F100" i="13"/>
  <c r="M19" i="17"/>
  <c r="M19" i="15"/>
  <c r="M19" i="18"/>
  <c r="M15" i="17"/>
  <c r="M15" i="15"/>
  <c r="M15" i="18"/>
  <c r="M30" i="15"/>
  <c r="M30" i="18"/>
  <c r="M30" i="17"/>
  <c r="F107" i="13"/>
  <c r="M26" i="18"/>
  <c r="M26" i="15"/>
  <c r="M26" i="17"/>
  <c r="F103" i="13"/>
  <c r="M22" i="15"/>
  <c r="M22" i="18"/>
  <c r="M22" i="17"/>
  <c r="F99" i="13"/>
  <c r="M18" i="18"/>
  <c r="M18" i="15"/>
  <c r="M18" i="17"/>
  <c r="F95" i="13"/>
  <c r="M14" i="15"/>
  <c r="M14" i="18"/>
  <c r="M14" i="17"/>
  <c r="M29" i="15"/>
  <c r="M29" i="18"/>
  <c r="M29" i="17"/>
  <c r="F106" i="13"/>
  <c r="M25" i="15"/>
  <c r="M25" i="17"/>
  <c r="M25" i="18"/>
  <c r="F102" i="13"/>
  <c r="M21" i="15"/>
  <c r="M21" i="18"/>
  <c r="M21" i="17"/>
  <c r="F98" i="13"/>
  <c r="M17" i="15"/>
  <c r="M17" i="17"/>
  <c r="M17" i="18"/>
  <c r="F109" i="13"/>
  <c r="M28" i="17"/>
  <c r="M28" i="18"/>
  <c r="M28" i="15"/>
  <c r="F105" i="13"/>
  <c r="M24" i="15"/>
  <c r="M24" i="18"/>
  <c r="M24" i="17"/>
  <c r="F101" i="13"/>
  <c r="M20" i="17"/>
  <c r="M20" i="18"/>
  <c r="M20" i="15"/>
  <c r="M16" i="18"/>
  <c r="M16" i="15"/>
  <c r="M16" i="17"/>
  <c r="F94" i="13"/>
  <c r="M13" i="15"/>
  <c r="M13" i="17"/>
  <c r="M13" i="18"/>
  <c r="F93" i="13"/>
  <c r="M12" i="17"/>
  <c r="M12" i="18"/>
  <c r="M12" i="15"/>
  <c r="AL7" i="1"/>
  <c r="AL15" i="29" l="1"/>
  <c r="AR15" i="29" s="1"/>
  <c r="AL16" i="29"/>
  <c r="AR16" i="29" s="1"/>
  <c r="AL12" i="29"/>
  <c r="AR12" i="29" s="1"/>
  <c r="AL13" i="29"/>
  <c r="AR13" i="29" s="1"/>
  <c r="AL11" i="29"/>
  <c r="AL14" i="29"/>
  <c r="AR14" i="29" s="1"/>
  <c r="K11" i="1"/>
  <c r="D2" i="9" a="1"/>
  <c r="AR11" i="29" l="1"/>
  <c r="AL31" i="29"/>
  <c r="AR31" i="29" s="1"/>
  <c r="AQ32" i="1" s="1"/>
  <c r="D2" i="9"/>
  <c r="M2" i="9" s="1"/>
  <c r="M2" i="30"/>
  <c r="W2" i="1"/>
  <c r="AN20" i="1"/>
  <c r="O20" i="1"/>
  <c r="N20" i="1"/>
  <c r="K20" i="1"/>
  <c r="U19" i="1"/>
  <c r="AN19" i="1" s="1"/>
  <c r="O19" i="1"/>
  <c r="N19" i="1"/>
  <c r="K19" i="1"/>
  <c r="L27" i="1"/>
  <c r="L25" i="1"/>
  <c r="AG30" i="1"/>
  <c r="AG29" i="1"/>
  <c r="AG28" i="1"/>
  <c r="AG27" i="1"/>
  <c r="AG26" i="1"/>
  <c r="AG25" i="1"/>
  <c r="AG24" i="1"/>
  <c r="AG23" i="1"/>
  <c r="AG22" i="1"/>
  <c r="AG21" i="1"/>
  <c r="AG20" i="1"/>
  <c r="AG19" i="1"/>
  <c r="AG18" i="1"/>
  <c r="AG17" i="1"/>
  <c r="AG16" i="1"/>
  <c r="AG15" i="1"/>
  <c r="AG14" i="1"/>
  <c r="AG13" i="1"/>
  <c r="AG12" i="1"/>
  <c r="AG11" i="1"/>
  <c r="K30" i="1"/>
  <c r="O30" i="1"/>
  <c r="BG30" i="1"/>
  <c r="K29" i="1"/>
  <c r="AD29" i="1" s="1"/>
  <c r="O29" i="1"/>
  <c r="K28" i="1"/>
  <c r="AD28" i="1" s="1"/>
  <c r="O28" i="1"/>
  <c r="BG29" i="1"/>
  <c r="BH29" i="1" s="1"/>
  <c r="BG28" i="1"/>
  <c r="BH28" i="1" s="1"/>
  <c r="K27" i="1"/>
  <c r="AD27" i="1" s="1"/>
  <c r="O27" i="1"/>
  <c r="BG27" i="1"/>
  <c r="BH27" i="1" s="1"/>
  <c r="K26" i="1"/>
  <c r="AD26" i="1" s="1"/>
  <c r="O26" i="1"/>
  <c r="BG26" i="1"/>
  <c r="BG25" i="1"/>
  <c r="BH25" i="1" s="1"/>
  <c r="K25" i="1"/>
  <c r="AD25" i="1" s="1"/>
  <c r="K24" i="1"/>
  <c r="AD24" i="1" s="1"/>
  <c r="O24" i="1"/>
  <c r="BG24" i="1"/>
  <c r="BH24" i="1" s="1"/>
  <c r="K23" i="1"/>
  <c r="AD23" i="1" s="1"/>
  <c r="O23" i="1"/>
  <c r="BG23" i="1"/>
  <c r="BH23" i="1" s="1"/>
  <c r="BG22" i="1"/>
  <c r="K22" i="1"/>
  <c r="AD22" i="1" s="1"/>
  <c r="K21" i="1"/>
  <c r="AD21" i="1" s="1"/>
  <c r="O21" i="1"/>
  <c r="AE21" i="1" s="1"/>
  <c r="BG21" i="1"/>
  <c r="BH21" i="1" s="1"/>
  <c r="BG20" i="1"/>
  <c r="BH20" i="1" s="1"/>
  <c r="BG19" i="1"/>
  <c r="BH19" i="1" s="1"/>
  <c r="K18" i="1"/>
  <c r="O18" i="1"/>
  <c r="BG18" i="1"/>
  <c r="BH18" i="1" s="1"/>
  <c r="K17" i="1"/>
  <c r="O17" i="1"/>
  <c r="BG17" i="1"/>
  <c r="BH17" i="1" s="1"/>
  <c r="BG16" i="1"/>
  <c r="BH16" i="1" s="1"/>
  <c r="K16" i="1"/>
  <c r="K15" i="1"/>
  <c r="O15" i="1"/>
  <c r="BG15" i="1"/>
  <c r="BH15" i="1" s="1"/>
  <c r="K14" i="1"/>
  <c r="O14" i="1"/>
  <c r="BG14" i="1"/>
  <c r="BH14" i="1" s="1"/>
  <c r="BG13" i="1"/>
  <c r="BH13" i="1" s="1"/>
  <c r="K13" i="1"/>
  <c r="K12" i="1"/>
  <c r="BG12" i="1"/>
  <c r="BH12" i="1" s="1"/>
  <c r="U29" i="1"/>
  <c r="AN29" i="1" s="1"/>
  <c r="AQ29" i="1"/>
  <c r="U25" i="1"/>
  <c r="AN25" i="1" s="1"/>
  <c r="AQ25" i="1"/>
  <c r="U17" i="1"/>
  <c r="AN17" i="1" s="1"/>
  <c r="U12" i="1"/>
  <c r="AN12" i="1" s="1"/>
  <c r="AQ30" i="1"/>
  <c r="AQ28" i="1"/>
  <c r="AQ27" i="1"/>
  <c r="AQ26" i="1"/>
  <c r="AQ24" i="1"/>
  <c r="AQ23" i="1"/>
  <c r="AQ22" i="1"/>
  <c r="AQ21" i="1"/>
  <c r="AQ20" i="1"/>
  <c r="AQ19" i="1"/>
  <c r="BG11" i="1"/>
  <c r="BH11" i="1" s="1"/>
  <c r="U30" i="1"/>
  <c r="AN30" i="1" s="1"/>
  <c r="U28" i="1"/>
  <c r="AN28" i="1" s="1"/>
  <c r="U27" i="1"/>
  <c r="AN27" i="1" s="1"/>
  <c r="U26" i="1"/>
  <c r="AN26" i="1" s="1"/>
  <c r="U24" i="1"/>
  <c r="AN24" i="1" s="1"/>
  <c r="U23" i="1"/>
  <c r="AN23" i="1" s="1"/>
  <c r="U22" i="1"/>
  <c r="AN22" i="1" s="1"/>
  <c r="U21" i="1"/>
  <c r="AN21" i="1" s="1"/>
  <c r="U18" i="1"/>
  <c r="AN18" i="1" s="1"/>
  <c r="U16" i="1"/>
  <c r="AN16" i="1" s="1"/>
  <c r="U15" i="1"/>
  <c r="AN15" i="1" s="1"/>
  <c r="U14" i="1"/>
  <c r="AN14" i="1" s="1"/>
  <c r="U13" i="1"/>
  <c r="AN13" i="1" s="1"/>
  <c r="D7" i="3"/>
  <c r="E7" i="3"/>
  <c r="I7" i="3"/>
  <c r="D8" i="3"/>
  <c r="F8" i="3" s="1"/>
  <c r="G8" i="3" s="1"/>
  <c r="E8" i="3"/>
  <c r="I8" i="3"/>
  <c r="D9" i="3"/>
  <c r="J9" i="3" s="1"/>
  <c r="E9" i="3"/>
  <c r="I9" i="3"/>
  <c r="D10" i="3"/>
  <c r="F10" i="3" s="1"/>
  <c r="G10" i="3" s="1"/>
  <c r="E10" i="3"/>
  <c r="I10" i="3"/>
  <c r="D11" i="3"/>
  <c r="E11" i="3"/>
  <c r="I11" i="3"/>
  <c r="D12" i="3"/>
  <c r="F12" i="3" s="1"/>
  <c r="G12" i="3" s="1"/>
  <c r="H12" i="3" s="1"/>
  <c r="E12" i="3"/>
  <c r="I12" i="3"/>
  <c r="D13" i="3"/>
  <c r="F13" i="3" s="1"/>
  <c r="G13" i="3" s="1"/>
  <c r="H13" i="3" s="1"/>
  <c r="E13" i="3"/>
  <c r="I13" i="3"/>
  <c r="D14" i="3"/>
  <c r="E14" i="3"/>
  <c r="I14" i="3"/>
  <c r="D15" i="3"/>
  <c r="J15" i="3" s="1"/>
  <c r="E15" i="3"/>
  <c r="I15" i="3"/>
  <c r="D16" i="3"/>
  <c r="J16" i="3" s="1"/>
  <c r="E16" i="3"/>
  <c r="I16" i="3"/>
  <c r="D17" i="3"/>
  <c r="E17" i="3"/>
  <c r="I17" i="3"/>
  <c r="D18" i="3"/>
  <c r="J18" i="3"/>
  <c r="E18" i="3"/>
  <c r="I18" i="3"/>
  <c r="D19" i="3"/>
  <c r="J19" i="3"/>
  <c r="E19" i="3"/>
  <c r="I19" i="3"/>
  <c r="D20" i="3"/>
  <c r="J20" i="3" s="1"/>
  <c r="E20" i="3"/>
  <c r="I20" i="3"/>
  <c r="D21" i="3"/>
  <c r="F21" i="3"/>
  <c r="G21" i="3" s="1"/>
  <c r="H21" i="3"/>
  <c r="E21" i="3"/>
  <c r="I21" i="3"/>
  <c r="D22" i="3"/>
  <c r="F22" i="3"/>
  <c r="G22" i="3" s="1"/>
  <c r="H22" i="3" s="1"/>
  <c r="E22" i="3"/>
  <c r="I22" i="3"/>
  <c r="D23" i="3"/>
  <c r="J23" i="3" s="1"/>
  <c r="E23" i="3"/>
  <c r="I23" i="3"/>
  <c r="D24" i="3"/>
  <c r="J24" i="3" s="1"/>
  <c r="E24" i="3"/>
  <c r="I24" i="3"/>
  <c r="D25" i="3"/>
  <c r="E25" i="3"/>
  <c r="I25" i="3"/>
  <c r="D26" i="3"/>
  <c r="J26" i="3" s="1"/>
  <c r="E26" i="3"/>
  <c r="I26" i="3"/>
  <c r="N30" i="1"/>
  <c r="N29" i="1"/>
  <c r="L29" i="1"/>
  <c r="N28" i="1"/>
  <c r="L28" i="1"/>
  <c r="N27" i="1"/>
  <c r="N26" i="1"/>
  <c r="O25" i="1"/>
  <c r="AE25" i="1" s="1"/>
  <c r="N25" i="1"/>
  <c r="N24" i="1"/>
  <c r="N23" i="1"/>
  <c r="L23" i="1"/>
  <c r="O22" i="1"/>
  <c r="N22" i="1"/>
  <c r="L22" i="1"/>
  <c r="N21" i="1"/>
  <c r="L21" i="1"/>
  <c r="N18" i="1"/>
  <c r="L18" i="1"/>
  <c r="N17" i="1"/>
  <c r="L17" i="1"/>
  <c r="O16" i="1"/>
  <c r="N16" i="1"/>
  <c r="N15" i="1"/>
  <c r="N14" i="1"/>
  <c r="L14" i="1"/>
  <c r="F20" i="3"/>
  <c r="G20" i="3" s="1"/>
  <c r="H20" i="3" s="1"/>
  <c r="L15" i="1"/>
  <c r="L19" i="1"/>
  <c r="L16" i="1"/>
  <c r="F26" i="3"/>
  <c r="G26" i="3" s="1"/>
  <c r="H26" i="3" s="1"/>
  <c r="L24" i="1"/>
  <c r="J13" i="3"/>
  <c r="J10" i="3"/>
  <c r="F25" i="3"/>
  <c r="G25" i="3" s="1"/>
  <c r="H25" i="3" s="1"/>
  <c r="J25" i="3"/>
  <c r="F9" i="3"/>
  <c r="G9" i="3"/>
  <c r="H9" i="3" s="1"/>
  <c r="J8" i="3"/>
  <c r="J17" i="3"/>
  <c r="F17" i="3"/>
  <c r="G17" i="3" s="1"/>
  <c r="H17" i="3"/>
  <c r="J21" i="3"/>
  <c r="L26" i="1"/>
  <c r="F19" i="3"/>
  <c r="G19" i="3" s="1"/>
  <c r="H19" i="3" s="1"/>
  <c r="J7" i="3"/>
  <c r="F7" i="3"/>
  <c r="G7" i="3"/>
  <c r="H7" i="3" s="1"/>
  <c r="L20" i="1"/>
  <c r="F11" i="3"/>
  <c r="G11" i="3" s="1"/>
  <c r="H11" i="3" s="1"/>
  <c r="J11" i="3"/>
  <c r="F24" i="3"/>
  <c r="G24" i="3" s="1"/>
  <c r="H24" i="3" s="1"/>
  <c r="J22" i="3"/>
  <c r="F15" i="3"/>
  <c r="G15" i="3" s="1"/>
  <c r="F23" i="3"/>
  <c r="G23" i="3" s="1"/>
  <c r="H23" i="3" s="1"/>
  <c r="F16" i="3"/>
  <c r="G16" i="3"/>
  <c r="H16" i="3" s="1"/>
  <c r="F18" i="3"/>
  <c r="G18" i="3"/>
  <c r="H18" i="3"/>
  <c r="H232" i="9" a="1"/>
  <c r="H178" i="9" a="1"/>
  <c r="H56" i="9" a="1"/>
  <c r="H218" i="9" a="1"/>
  <c r="D232" i="9" a="1"/>
  <c r="H260" i="9" a="1"/>
  <c r="H152" i="9" a="1"/>
  <c r="D192" i="9" a="1"/>
  <c r="D138" i="9" a="1"/>
  <c r="D30" i="9" a="1"/>
  <c r="D152" i="9" a="1"/>
  <c r="H44" i="9" a="1"/>
  <c r="D84" i="9" a="1"/>
  <c r="H192" i="9" a="1"/>
  <c r="D178" i="9" a="1"/>
  <c r="D98" i="9" a="1"/>
  <c r="H246" i="9" a="1"/>
  <c r="D206" i="9" a="1"/>
  <c r="D124" i="9" a="1"/>
  <c r="D164" i="9" a="1"/>
  <c r="H84" i="9" a="1"/>
  <c r="H98" i="9" a="1"/>
  <c r="D16" i="9" a="1"/>
  <c r="H164" i="9" a="1"/>
  <c r="D218" i="9" a="1"/>
  <c r="D260" i="9" a="1"/>
  <c r="H124" i="9" a="1"/>
  <c r="H206" i="9" a="1"/>
  <c r="D246" i="9" a="1"/>
  <c r="D110" i="9" a="1"/>
  <c r="D56" i="9" a="1"/>
  <c r="H110" i="9" a="1"/>
  <c r="H70" i="9" a="1"/>
  <c r="D70" i="9" a="1"/>
  <c r="H138" i="9" a="1"/>
  <c r="D44" i="9" a="1"/>
  <c r="AD30" i="1" l="1"/>
  <c r="AE30" i="1" s="1"/>
  <c r="S30" i="1"/>
  <c r="BA30" i="1"/>
  <c r="AE29" i="1"/>
  <c r="C86" i="13"/>
  <c r="AP29" i="1"/>
  <c r="AE28" i="1"/>
  <c r="AP28" i="1" s="1"/>
  <c r="C85" i="13"/>
  <c r="AE27" i="1"/>
  <c r="C84" i="13"/>
  <c r="AP27" i="1"/>
  <c r="AE26" i="1"/>
  <c r="AP25" i="1"/>
  <c r="C82" i="13"/>
  <c r="AE24" i="1"/>
  <c r="AE23" i="1"/>
  <c r="C80" i="13"/>
  <c r="AP23" i="1"/>
  <c r="AE22" i="1"/>
  <c r="AP21" i="1"/>
  <c r="C78" i="13"/>
  <c r="D138" i="9"/>
  <c r="D139" i="9" s="1"/>
  <c r="H164" i="9"/>
  <c r="F167" i="9" s="1"/>
  <c r="O167" i="9" s="1"/>
  <c r="D178" i="9"/>
  <c r="D179" i="9" s="1"/>
  <c r="H206" i="9"/>
  <c r="F209" i="9" s="1"/>
  <c r="O209" i="9" s="1"/>
  <c r="D218" i="9"/>
  <c r="D219" i="9" s="1"/>
  <c r="D232" i="9"/>
  <c r="D233" i="9" s="1"/>
  <c r="H260" i="9"/>
  <c r="F263" i="9" s="1"/>
  <c r="O263" i="9" s="1"/>
  <c r="H152" i="9"/>
  <c r="F155" i="9" s="1"/>
  <c r="O155" i="9" s="1"/>
  <c r="H192" i="9"/>
  <c r="F195" i="9" s="1"/>
  <c r="O195" i="9" s="1"/>
  <c r="F59" i="30"/>
  <c r="O59" i="30" s="1"/>
  <c r="F101" i="30"/>
  <c r="O101" i="30" s="1"/>
  <c r="D152" i="9"/>
  <c r="D153" i="9" s="1"/>
  <c r="D164" i="9"/>
  <c r="D165" i="9" s="1"/>
  <c r="D192" i="9"/>
  <c r="D193" i="9" s="1"/>
  <c r="D206" i="9"/>
  <c r="D207" i="9" s="1"/>
  <c r="H246" i="9"/>
  <c r="F249" i="9" s="1"/>
  <c r="O249" i="9" s="1"/>
  <c r="D260" i="9"/>
  <c r="D261" i="9" s="1"/>
  <c r="D17" i="30"/>
  <c r="F47" i="30"/>
  <c r="O47" i="30" s="1"/>
  <c r="F87" i="30"/>
  <c r="O87" i="30" s="1"/>
  <c r="D246" i="9"/>
  <c r="D247" i="9" s="1"/>
  <c r="F113" i="30"/>
  <c r="O113" i="30" s="1"/>
  <c r="F127" i="30"/>
  <c r="O127" i="30" s="1"/>
  <c r="F73" i="30"/>
  <c r="O73" i="30" s="1"/>
  <c r="H138" i="9"/>
  <c r="F141" i="9" s="1"/>
  <c r="O141" i="9" s="1"/>
  <c r="H178" i="9"/>
  <c r="F181" i="9" s="1"/>
  <c r="O181" i="9" s="1"/>
  <c r="H218" i="9"/>
  <c r="F221" i="9" s="1"/>
  <c r="O221" i="9" s="1"/>
  <c r="H232" i="9"/>
  <c r="F235" i="9" s="1"/>
  <c r="O235" i="9" s="1"/>
  <c r="D110" i="9"/>
  <c r="D111" i="9" s="1"/>
  <c r="D124" i="9"/>
  <c r="D125" i="9" s="1"/>
  <c r="H56" i="9"/>
  <c r="F59" i="9" s="1"/>
  <c r="O59" i="9" s="1"/>
  <c r="H98" i="9"/>
  <c r="F101" i="9" s="1"/>
  <c r="O101" i="9" s="1"/>
  <c r="D16" i="9"/>
  <c r="D17" i="9" s="1"/>
  <c r="H44" i="9"/>
  <c r="F47" i="9" s="1"/>
  <c r="O47" i="9" s="1"/>
  <c r="D56" i="9"/>
  <c r="D57" i="9" s="1"/>
  <c r="H84" i="9"/>
  <c r="F87" i="9" s="1"/>
  <c r="O87" i="9" s="1"/>
  <c r="D98" i="9"/>
  <c r="D99" i="9" s="1"/>
  <c r="H110" i="9"/>
  <c r="F113" i="9" s="1"/>
  <c r="O113" i="9" s="1"/>
  <c r="H124" i="9"/>
  <c r="F127" i="9" s="1"/>
  <c r="O127" i="9" s="1"/>
  <c r="H70" i="9"/>
  <c r="F73" i="9" s="1"/>
  <c r="O73" i="9" s="1"/>
  <c r="D30" i="9"/>
  <c r="D31" i="9" s="1"/>
  <c r="D44" i="9"/>
  <c r="D45" i="9" s="1"/>
  <c r="D70" i="9"/>
  <c r="D71" i="9" s="1"/>
  <c r="D84" i="9"/>
  <c r="D85" i="9" s="1"/>
  <c r="AD19" i="1"/>
  <c r="AE19" i="1" s="1"/>
  <c r="AD20" i="1"/>
  <c r="AE20" i="1" s="1"/>
  <c r="E77" i="13"/>
  <c r="E76" i="13"/>
  <c r="AD12" i="1"/>
  <c r="AD15" i="1"/>
  <c r="AE15" i="1" s="1"/>
  <c r="AP15" i="1" s="1"/>
  <c r="AD18" i="1"/>
  <c r="AE18" i="1" s="1"/>
  <c r="AP18" i="1" s="1"/>
  <c r="AD13" i="1"/>
  <c r="AE13" i="1" s="1"/>
  <c r="AP13" i="1" s="1"/>
  <c r="AD14" i="1"/>
  <c r="AE14" i="1" s="1"/>
  <c r="AP14" i="1" s="1"/>
  <c r="AD16" i="1"/>
  <c r="AE16" i="1" s="1"/>
  <c r="AP16" i="1" s="1"/>
  <c r="AD17" i="1"/>
  <c r="AE17" i="1" s="1"/>
  <c r="AP17" i="1" s="1"/>
  <c r="S15" i="17"/>
  <c r="S15" i="15"/>
  <c r="S15" i="18"/>
  <c r="H10" i="3"/>
  <c r="BI30" i="1"/>
  <c r="BI20" i="1"/>
  <c r="BD25" i="1"/>
  <c r="BH22" i="1"/>
  <c r="BD18" i="1"/>
  <c r="BI27" i="1"/>
  <c r="BI18" i="1"/>
  <c r="BI17" i="1"/>
  <c r="BI22" i="1"/>
  <c r="BI13" i="1"/>
  <c r="BD23" i="1"/>
  <c r="BI29" i="1"/>
  <c r="BI21" i="1"/>
  <c r="BI14" i="1"/>
  <c r="BI28" i="1"/>
  <c r="BD19" i="1"/>
  <c r="BH30" i="1"/>
  <c r="BI26" i="1"/>
  <c r="BD14" i="1"/>
  <c r="BD21" i="1"/>
  <c r="BD27" i="1"/>
  <c r="BD17" i="1"/>
  <c r="BI19" i="1"/>
  <c r="BD28" i="1"/>
  <c r="BD22" i="1"/>
  <c r="BD29" i="1"/>
  <c r="BI25" i="1"/>
  <c r="BD13" i="1"/>
  <c r="AN31" i="1"/>
  <c r="L30" i="1"/>
  <c r="BI23" i="1"/>
  <c r="BH26" i="1"/>
  <c r="BD26" i="1"/>
  <c r="F14" i="3"/>
  <c r="G14" i="3" s="1"/>
  <c r="H14" i="3" s="1"/>
  <c r="J14" i="3"/>
  <c r="H15" i="3"/>
  <c r="H8" i="3"/>
  <c r="BI15" i="1"/>
  <c r="BD15" i="1"/>
  <c r="BD20" i="1"/>
  <c r="BD30" i="1"/>
  <c r="J12" i="3"/>
  <c r="D264" i="9" a="1"/>
  <c r="D264" i="9" l="1"/>
  <c r="BB30" i="1"/>
  <c r="Q30" i="1" s="1"/>
  <c r="AA30" i="1"/>
  <c r="E87" i="13" s="1"/>
  <c r="S30" i="18"/>
  <c r="S30" i="17"/>
  <c r="S30" i="15"/>
  <c r="C87" i="13"/>
  <c r="AP30" i="1"/>
  <c r="AP24" i="1"/>
  <c r="C81" i="13"/>
  <c r="C83" i="13"/>
  <c r="AP26" i="1"/>
  <c r="C79" i="13"/>
  <c r="AP22" i="1"/>
  <c r="R113" i="30"/>
  <c r="R127" i="30"/>
  <c r="E85" i="13"/>
  <c r="BC25" i="1"/>
  <c r="AB25" i="1" s="1"/>
  <c r="F233" i="9"/>
  <c r="O233" i="9" s="1"/>
  <c r="Q232" i="9"/>
  <c r="Q178" i="9"/>
  <c r="F179" i="9"/>
  <c r="O179" i="9" s="1"/>
  <c r="M84" i="30"/>
  <c r="I88" i="30"/>
  <c r="R88" i="30" s="1"/>
  <c r="Q70" i="30"/>
  <c r="F71" i="30"/>
  <c r="O71" i="30" s="1"/>
  <c r="M246" i="30"/>
  <c r="I250" i="30"/>
  <c r="R250" i="30" s="1"/>
  <c r="Q44" i="30"/>
  <c r="F45" i="30"/>
  <c r="O45" i="30" s="1"/>
  <c r="Q246" i="9"/>
  <c r="F247" i="9"/>
  <c r="O247" i="9" s="1"/>
  <c r="M192" i="9"/>
  <c r="I196" i="9"/>
  <c r="R196" i="9" s="1"/>
  <c r="M152" i="9"/>
  <c r="I156" i="9"/>
  <c r="R156" i="9" s="1"/>
  <c r="Q192" i="9"/>
  <c r="F193" i="9"/>
  <c r="O193" i="9" s="1"/>
  <c r="M124" i="30"/>
  <c r="I128" i="30"/>
  <c r="R128" i="30" s="1"/>
  <c r="M232" i="9"/>
  <c r="I236" i="9"/>
  <c r="R236" i="9" s="1"/>
  <c r="Q206" i="9"/>
  <c r="F207" i="9"/>
  <c r="O207" i="9" s="1"/>
  <c r="Q164" i="9"/>
  <c r="F165" i="9"/>
  <c r="O165" i="9" s="1"/>
  <c r="E80" i="13"/>
  <c r="Q26" i="17"/>
  <c r="BC26" i="1"/>
  <c r="AB26" i="1" s="1"/>
  <c r="F233" i="30"/>
  <c r="O233" i="30" s="1"/>
  <c r="Q232" i="30"/>
  <c r="F179" i="30"/>
  <c r="O179" i="30" s="1"/>
  <c r="Q178" i="30"/>
  <c r="M70" i="30"/>
  <c r="I74" i="30"/>
  <c r="R74" i="30" s="1"/>
  <c r="Q124" i="30"/>
  <c r="F125" i="30"/>
  <c r="O125" i="30" s="1"/>
  <c r="M98" i="30"/>
  <c r="I102" i="30"/>
  <c r="R102" i="30" s="1"/>
  <c r="M16" i="30"/>
  <c r="I20" i="30"/>
  <c r="R20" i="30" s="1"/>
  <c r="Q246" i="30"/>
  <c r="F247" i="30"/>
  <c r="O247" i="30" s="1"/>
  <c r="M192" i="30"/>
  <c r="I196" i="30"/>
  <c r="R196" i="30" s="1"/>
  <c r="M152" i="30"/>
  <c r="I156" i="30"/>
  <c r="R156" i="30" s="1"/>
  <c r="F193" i="30"/>
  <c r="O193" i="30" s="1"/>
  <c r="Q192" i="30"/>
  <c r="M110" i="30"/>
  <c r="I114" i="30"/>
  <c r="R114" i="30" s="1"/>
  <c r="M232" i="30"/>
  <c r="I236" i="30"/>
  <c r="R236" i="30" s="1"/>
  <c r="Q206" i="30"/>
  <c r="F207" i="30"/>
  <c r="O207" i="30" s="1"/>
  <c r="Q164" i="30"/>
  <c r="F165" i="30"/>
  <c r="O165" i="30" s="1"/>
  <c r="E84" i="13"/>
  <c r="Q218" i="9"/>
  <c r="F219" i="9"/>
  <c r="O219" i="9" s="1"/>
  <c r="Q138" i="9"/>
  <c r="F139" i="9"/>
  <c r="O139" i="9" s="1"/>
  <c r="M44" i="30"/>
  <c r="I48" i="30"/>
  <c r="R48" i="30" s="1"/>
  <c r="Q110" i="30"/>
  <c r="F111" i="30"/>
  <c r="O111" i="30" s="1"/>
  <c r="Q84" i="30"/>
  <c r="F85" i="30"/>
  <c r="O85" i="30" s="1"/>
  <c r="M260" i="9"/>
  <c r="I264" i="9"/>
  <c r="R264" i="9" s="1"/>
  <c r="M206" i="9"/>
  <c r="I210" i="9"/>
  <c r="R210" i="9" s="1"/>
  <c r="M164" i="9"/>
  <c r="I168" i="9"/>
  <c r="R168" i="9" s="1"/>
  <c r="F99" i="30"/>
  <c r="O99" i="30" s="1"/>
  <c r="Q98" i="30"/>
  <c r="F153" i="9"/>
  <c r="O153" i="9" s="1"/>
  <c r="Q152" i="9"/>
  <c r="Q260" i="9"/>
  <c r="F261" i="9"/>
  <c r="O261" i="9" s="1"/>
  <c r="M218" i="9"/>
  <c r="I222" i="9"/>
  <c r="R222" i="9" s="1"/>
  <c r="M178" i="9"/>
  <c r="I182" i="9"/>
  <c r="R182" i="9" s="1"/>
  <c r="M138" i="9"/>
  <c r="I142" i="9"/>
  <c r="R142" i="9" s="1"/>
  <c r="Q25" i="17"/>
  <c r="E78" i="13"/>
  <c r="BF29" i="1"/>
  <c r="BF22" i="1"/>
  <c r="Q218" i="30"/>
  <c r="F219" i="30"/>
  <c r="O219" i="30" s="1"/>
  <c r="F139" i="30"/>
  <c r="O139" i="30" s="1"/>
  <c r="Q138" i="30"/>
  <c r="M30" i="30"/>
  <c r="I34" i="30"/>
  <c r="R34" i="30" s="1"/>
  <c r="M246" i="9"/>
  <c r="I250" i="9"/>
  <c r="R250" i="9" s="1"/>
  <c r="M56" i="30"/>
  <c r="I60" i="30"/>
  <c r="R60" i="30" s="1"/>
  <c r="M260" i="30"/>
  <c r="I264" i="30"/>
  <c r="R264" i="30" s="1"/>
  <c r="M206" i="30"/>
  <c r="I210" i="30"/>
  <c r="R210" i="30" s="1"/>
  <c r="M164" i="30"/>
  <c r="I168" i="30"/>
  <c r="R168" i="30" s="1"/>
  <c r="Q56" i="30"/>
  <c r="F57" i="30"/>
  <c r="O57" i="30" s="1"/>
  <c r="F153" i="30"/>
  <c r="O153" i="30" s="1"/>
  <c r="Q152" i="30"/>
  <c r="F261" i="30"/>
  <c r="O261" i="30" s="1"/>
  <c r="Q260" i="30"/>
  <c r="M218" i="30"/>
  <c r="I222" i="30"/>
  <c r="R222" i="30" s="1"/>
  <c r="M178" i="30"/>
  <c r="I182" i="30"/>
  <c r="R182" i="30" s="1"/>
  <c r="M138" i="30"/>
  <c r="I142" i="30"/>
  <c r="R142" i="30" s="1"/>
  <c r="D76" i="13"/>
  <c r="D77" i="13"/>
  <c r="R113" i="9"/>
  <c r="R127" i="9"/>
  <c r="C74" i="13"/>
  <c r="C75" i="13"/>
  <c r="AP19" i="1"/>
  <c r="C76" i="13"/>
  <c r="M84" i="9"/>
  <c r="I88" i="9"/>
  <c r="R88" i="9" s="1"/>
  <c r="Q70" i="9"/>
  <c r="F71" i="9"/>
  <c r="O71" i="9" s="1"/>
  <c r="Q84" i="9"/>
  <c r="F85" i="9"/>
  <c r="O85" i="9" s="1"/>
  <c r="Q98" i="9"/>
  <c r="F99" i="9"/>
  <c r="O99" i="9" s="1"/>
  <c r="E75" i="13"/>
  <c r="E74" i="13"/>
  <c r="M70" i="9"/>
  <c r="I74" i="9"/>
  <c r="R74" i="9" s="1"/>
  <c r="F125" i="9"/>
  <c r="O125" i="9" s="1"/>
  <c r="Q124" i="9"/>
  <c r="M56" i="9"/>
  <c r="I60" i="9"/>
  <c r="R60" i="9" s="1"/>
  <c r="Q56" i="9"/>
  <c r="F57" i="9"/>
  <c r="O57" i="9" s="1"/>
  <c r="M44" i="9"/>
  <c r="I48" i="9"/>
  <c r="R48" i="9" s="1"/>
  <c r="F111" i="9"/>
  <c r="O111" i="9" s="1"/>
  <c r="Q110" i="9"/>
  <c r="F45" i="9"/>
  <c r="O45" i="9" s="1"/>
  <c r="Q44" i="9"/>
  <c r="M124" i="9"/>
  <c r="I128" i="9"/>
  <c r="R128" i="9" s="1"/>
  <c r="D73" i="13"/>
  <c r="C77" i="13"/>
  <c r="AP20" i="1"/>
  <c r="M30" i="9"/>
  <c r="I34" i="9"/>
  <c r="R34" i="9" s="1"/>
  <c r="M98" i="9"/>
  <c r="I102" i="9"/>
  <c r="R102" i="9" s="1"/>
  <c r="M16" i="9"/>
  <c r="I20" i="9"/>
  <c r="R20" i="9" s="1"/>
  <c r="M110" i="9"/>
  <c r="I114" i="9"/>
  <c r="R114" i="9" s="1"/>
  <c r="D70" i="13"/>
  <c r="C72" i="13"/>
  <c r="S14" i="15"/>
  <c r="S14" i="18"/>
  <c r="S14" i="17"/>
  <c r="Q19" i="17"/>
  <c r="Q19" i="18"/>
  <c r="Q19" i="15"/>
  <c r="S16" i="18"/>
  <c r="S16" i="17"/>
  <c r="S16" i="15"/>
  <c r="Q20" i="15"/>
  <c r="Q20" i="17"/>
  <c r="Q20" i="18"/>
  <c r="S13" i="17"/>
  <c r="S13" i="18"/>
  <c r="S13" i="15"/>
  <c r="S12" i="17"/>
  <c r="S12" i="18"/>
  <c r="S12" i="15"/>
  <c r="AE12" i="1"/>
  <c r="AP12" i="1" s="1"/>
  <c r="C70" i="13"/>
  <c r="C71" i="13"/>
  <c r="C73" i="13"/>
  <c r="BF20" i="1"/>
  <c r="BC19" i="1"/>
  <c r="AB19" i="1" s="1"/>
  <c r="BC20" i="1"/>
  <c r="AB20" i="1" s="1"/>
  <c r="BF19" i="1"/>
  <c r="BD16" i="1"/>
  <c r="BI16" i="1"/>
  <c r="BD12" i="1"/>
  <c r="BI12" i="1"/>
  <c r="BI24" i="1"/>
  <c r="BD24" i="1"/>
  <c r="I263" i="9" a="1"/>
  <c r="D262" i="9" a="1"/>
  <c r="D262" i="9" l="1"/>
  <c r="I263" i="9"/>
  <c r="R263" i="9" s="1"/>
  <c r="M264" i="9"/>
  <c r="D263" i="9"/>
  <c r="M263" i="9" s="1"/>
  <c r="BF30" i="1"/>
  <c r="B87" i="13" s="1"/>
  <c r="BC30" i="1"/>
  <c r="AB30" i="1" s="1"/>
  <c r="AL30" i="1" s="1"/>
  <c r="Q26" i="18"/>
  <c r="BC29" i="1"/>
  <c r="AB29" i="1" s="1"/>
  <c r="AM29" i="1" s="1"/>
  <c r="BC28" i="1"/>
  <c r="AB28" i="1" s="1"/>
  <c r="AL28" i="1" s="1"/>
  <c r="BF26" i="1"/>
  <c r="B83" i="13" s="1"/>
  <c r="BF25" i="1"/>
  <c r="B82" i="13" s="1"/>
  <c r="D84" i="13"/>
  <c r="Q26" i="15"/>
  <c r="D80" i="13"/>
  <c r="Q25" i="18"/>
  <c r="Q25" i="15"/>
  <c r="D74" i="13"/>
  <c r="BF13" i="1"/>
  <c r="B70" i="13" s="1"/>
  <c r="BF28" i="1"/>
  <c r="BE28" i="1" s="1"/>
  <c r="AC28" i="1" s="1"/>
  <c r="BC13" i="1"/>
  <c r="AB13" i="1" s="1"/>
  <c r="AM13" i="1" s="1"/>
  <c r="D85" i="13"/>
  <c r="D75" i="13"/>
  <c r="D78" i="13"/>
  <c r="BC22" i="1"/>
  <c r="AB22" i="1" s="1"/>
  <c r="AM22" i="1" s="1"/>
  <c r="M207" i="9"/>
  <c r="R209" i="9"/>
  <c r="R209" i="30"/>
  <c r="M208" i="30"/>
  <c r="E70" i="13"/>
  <c r="D87" i="13"/>
  <c r="R73" i="30"/>
  <c r="R87" i="30"/>
  <c r="R155" i="30"/>
  <c r="R155" i="9"/>
  <c r="R167" i="30"/>
  <c r="R167" i="9"/>
  <c r="R47" i="30"/>
  <c r="R59" i="30"/>
  <c r="R33" i="30"/>
  <c r="R235" i="30"/>
  <c r="R235" i="9"/>
  <c r="R263" i="30"/>
  <c r="R249" i="30"/>
  <c r="R249" i="9"/>
  <c r="R101" i="30"/>
  <c r="R141" i="30"/>
  <c r="R141" i="9"/>
  <c r="R221" i="30"/>
  <c r="R221" i="9"/>
  <c r="R195" i="30"/>
  <c r="R195" i="9"/>
  <c r="E81" i="13"/>
  <c r="Q22" i="17"/>
  <c r="Q23" i="18"/>
  <c r="M126" i="30"/>
  <c r="M125" i="30"/>
  <c r="E79" i="13"/>
  <c r="D79" i="13"/>
  <c r="E83" i="13"/>
  <c r="D83" i="13"/>
  <c r="E82" i="13"/>
  <c r="D82" i="13"/>
  <c r="M112" i="30"/>
  <c r="M111" i="30"/>
  <c r="Q27" i="18"/>
  <c r="E86" i="13"/>
  <c r="D86" i="13"/>
  <c r="R73" i="9"/>
  <c r="R87" i="9"/>
  <c r="R47" i="9"/>
  <c r="R59" i="9"/>
  <c r="R33" i="9"/>
  <c r="R101" i="9"/>
  <c r="M126" i="9"/>
  <c r="M125" i="9"/>
  <c r="M112" i="9"/>
  <c r="M111" i="9"/>
  <c r="AA12" i="1"/>
  <c r="D69" i="13" s="1"/>
  <c r="Q23" i="17"/>
  <c r="Q22" i="18"/>
  <c r="Q22" i="15"/>
  <c r="Q23" i="15"/>
  <c r="Q27" i="15"/>
  <c r="Q14" i="18"/>
  <c r="Q14" i="15"/>
  <c r="Q27" i="17"/>
  <c r="C69" i="13"/>
  <c r="AM26" i="1"/>
  <c r="AM20" i="1"/>
  <c r="AM25" i="1"/>
  <c r="AM19" i="1"/>
  <c r="Q14" i="17"/>
  <c r="Q18" i="17"/>
  <c r="Q18" i="15"/>
  <c r="Q18" i="18"/>
  <c r="Q30" i="15"/>
  <c r="Q30" i="18"/>
  <c r="Q30" i="17"/>
  <c r="Q15" i="18"/>
  <c r="Q15" i="17"/>
  <c r="Q15" i="15"/>
  <c r="Q16" i="17"/>
  <c r="Q16" i="18"/>
  <c r="Q16" i="15"/>
  <c r="Q21" i="15"/>
  <c r="Q21" i="18"/>
  <c r="Q21" i="17"/>
  <c r="Q17" i="15"/>
  <c r="Q17" i="18"/>
  <c r="Q17" i="17"/>
  <c r="Q29" i="15"/>
  <c r="Q29" i="18"/>
  <c r="Q29" i="17"/>
  <c r="Q28" i="17"/>
  <c r="Q28" i="18"/>
  <c r="Q28" i="15"/>
  <c r="Q13" i="18"/>
  <c r="Q13" i="15"/>
  <c r="Q13" i="17"/>
  <c r="D72" i="13"/>
  <c r="E72" i="13"/>
  <c r="D71" i="13"/>
  <c r="E71" i="13"/>
  <c r="E73" i="13"/>
  <c r="BE26" i="1"/>
  <c r="AC26" i="1" s="1"/>
  <c r="BC23" i="1"/>
  <c r="AB23" i="1" s="1"/>
  <c r="BC17" i="1"/>
  <c r="AB17" i="1" s="1"/>
  <c r="BC27" i="1"/>
  <c r="AB27" i="1" s="1"/>
  <c r="BE29" i="1"/>
  <c r="AC29" i="1" s="1"/>
  <c r="B86" i="13"/>
  <c r="BE22" i="1"/>
  <c r="AC22" i="1" s="1"/>
  <c r="B79" i="13"/>
  <c r="BE19" i="1"/>
  <c r="AC19" i="1" s="1"/>
  <c r="B76" i="13"/>
  <c r="BE20" i="1"/>
  <c r="AC20" i="1" s="1"/>
  <c r="B77" i="13"/>
  <c r="BC16" i="1"/>
  <c r="AB16" i="1" s="1"/>
  <c r="BF14" i="1"/>
  <c r="B71" i="13" s="1"/>
  <c r="BC15" i="1"/>
  <c r="AB15" i="1" s="1"/>
  <c r="AL25" i="1"/>
  <c r="AL20" i="1"/>
  <c r="AL19" i="1"/>
  <c r="AL26" i="1"/>
  <c r="BF27" i="1"/>
  <c r="BC18" i="1"/>
  <c r="AB18" i="1" s="1"/>
  <c r="BF18" i="1"/>
  <c r="BF15" i="1"/>
  <c r="B72" i="13" s="1"/>
  <c r="BF17" i="1"/>
  <c r="BF16" i="1"/>
  <c r="B73" i="13" s="1"/>
  <c r="BF23" i="1"/>
  <c r="BC21" i="1"/>
  <c r="AB21" i="1" s="1"/>
  <c r="BF21" i="1"/>
  <c r="BC14" i="1"/>
  <c r="AB14" i="1" s="1"/>
  <c r="AM28" i="1" l="1"/>
  <c r="AM30" i="1"/>
  <c r="BE30" i="1"/>
  <c r="AC30" i="1" s="1"/>
  <c r="AO30" i="1" s="1"/>
  <c r="BE25" i="1"/>
  <c r="AC25" i="1" s="1"/>
  <c r="AO25" i="1" s="1"/>
  <c r="AR25" i="1" s="1"/>
  <c r="B85" i="13"/>
  <c r="AL29" i="1"/>
  <c r="BE13" i="1"/>
  <c r="AC13" i="1" s="1"/>
  <c r="AO13" i="1" s="1"/>
  <c r="AL13" i="1"/>
  <c r="D81" i="13"/>
  <c r="AL22" i="1"/>
  <c r="M208" i="9"/>
  <c r="M207" i="30"/>
  <c r="R19" i="30"/>
  <c r="R181" i="30"/>
  <c r="R181" i="9"/>
  <c r="M166" i="9"/>
  <c r="M165" i="9"/>
  <c r="M154" i="9"/>
  <c r="M153" i="9"/>
  <c r="M194" i="30"/>
  <c r="M193" i="30"/>
  <c r="M220" i="30"/>
  <c r="M219" i="30"/>
  <c r="M140" i="9"/>
  <c r="M139" i="9"/>
  <c r="M100" i="30"/>
  <c r="M99" i="30"/>
  <c r="M248" i="30"/>
  <c r="M247" i="30"/>
  <c r="M262" i="30"/>
  <c r="M261" i="30"/>
  <c r="M234" i="30"/>
  <c r="M233" i="30"/>
  <c r="M58" i="30"/>
  <c r="M57" i="30"/>
  <c r="M86" i="30"/>
  <c r="M85" i="30"/>
  <c r="M220" i="9"/>
  <c r="M219" i="9"/>
  <c r="M140" i="30"/>
  <c r="M139" i="30"/>
  <c r="M248" i="9"/>
  <c r="M247" i="9"/>
  <c r="M234" i="9"/>
  <c r="M233" i="9"/>
  <c r="M154" i="30"/>
  <c r="M153" i="30"/>
  <c r="M194" i="9"/>
  <c r="M193" i="9"/>
  <c r="M262" i="9"/>
  <c r="M261" i="9"/>
  <c r="M32" i="30"/>
  <c r="M31" i="30"/>
  <c r="M46" i="30"/>
  <c r="M45" i="30"/>
  <c r="M166" i="30"/>
  <c r="M165" i="30"/>
  <c r="M72" i="30"/>
  <c r="M71" i="30"/>
  <c r="R19" i="9"/>
  <c r="M58" i="9"/>
  <c r="M57" i="9"/>
  <c r="M86" i="9"/>
  <c r="M85" i="9"/>
  <c r="M100" i="9"/>
  <c r="M99" i="9"/>
  <c r="M46" i="9"/>
  <c r="M45" i="9"/>
  <c r="M32" i="9"/>
  <c r="M31" i="9"/>
  <c r="M72" i="9"/>
  <c r="M71" i="9"/>
  <c r="AO28" i="1"/>
  <c r="AO19" i="1"/>
  <c r="AR19" i="1" s="1"/>
  <c r="AO20" i="1"/>
  <c r="AR20" i="1" s="1"/>
  <c r="AO22" i="1"/>
  <c r="AO29" i="1"/>
  <c r="AO26" i="1"/>
  <c r="AR26" i="1" s="1"/>
  <c r="Q12" i="17"/>
  <c r="AM18" i="1"/>
  <c r="AM16" i="1"/>
  <c r="AM27" i="1"/>
  <c r="AM21" i="1"/>
  <c r="AM17" i="1"/>
  <c r="AM14" i="1"/>
  <c r="AM23" i="1"/>
  <c r="Q12" i="15"/>
  <c r="Q12" i="18"/>
  <c r="Q24" i="17"/>
  <c r="Q24" i="15"/>
  <c r="Q24" i="18"/>
  <c r="BC31" i="1"/>
  <c r="AL17" i="1"/>
  <c r="E69" i="13"/>
  <c r="AL27" i="1"/>
  <c r="AL23" i="1"/>
  <c r="BE18" i="1"/>
  <c r="AC18" i="1" s="1"/>
  <c r="AO18" i="1" s="1"/>
  <c r="B75" i="13"/>
  <c r="BE23" i="1"/>
  <c r="AC23" i="1" s="1"/>
  <c r="B80" i="13"/>
  <c r="BE27" i="1"/>
  <c r="AC27" i="1" s="1"/>
  <c r="B84" i="13"/>
  <c r="BE21" i="1"/>
  <c r="AC21" i="1" s="1"/>
  <c r="B78" i="13"/>
  <c r="BE17" i="1"/>
  <c r="AC17" i="1" s="1"/>
  <c r="AO17" i="1" s="1"/>
  <c r="B74" i="13"/>
  <c r="BC24" i="1"/>
  <c r="AB24" i="1" s="1"/>
  <c r="BE16" i="1"/>
  <c r="AC16" i="1" s="1"/>
  <c r="AO16" i="1" s="1"/>
  <c r="AL15" i="1"/>
  <c r="AM15" i="1"/>
  <c r="BE15" i="1"/>
  <c r="AC15" i="1" s="1"/>
  <c r="AO15" i="1" s="1"/>
  <c r="BE14" i="1"/>
  <c r="AC14" i="1" s="1"/>
  <c r="AO14" i="1" s="1"/>
  <c r="BF12" i="1"/>
  <c r="B69" i="13" s="1"/>
  <c r="AL18" i="1"/>
  <c r="AL16" i="1"/>
  <c r="AL14" i="1"/>
  <c r="AL21" i="1"/>
  <c r="BF24" i="1"/>
  <c r="BC12" i="1"/>
  <c r="AB12" i="1" s="1"/>
  <c r="AR28" i="1" l="1"/>
  <c r="AR30" i="1"/>
  <c r="AR29" i="1"/>
  <c r="AR13" i="1"/>
  <c r="AR22" i="1"/>
  <c r="M180" i="30"/>
  <c r="M179" i="30"/>
  <c r="M180" i="9"/>
  <c r="M179" i="9"/>
  <c r="M18" i="30"/>
  <c r="M17" i="30"/>
  <c r="M18" i="9"/>
  <c r="M17" i="9"/>
  <c r="AR16" i="1"/>
  <c r="AR18" i="1"/>
  <c r="AR14" i="1"/>
  <c r="AO27" i="1"/>
  <c r="AR27" i="1" s="1"/>
  <c r="AO23" i="1"/>
  <c r="AR23" i="1" s="1"/>
  <c r="AR15" i="1"/>
  <c r="AO21" i="1"/>
  <c r="AR21" i="1" s="1"/>
  <c r="AR17" i="1"/>
  <c r="I53" i="13"/>
  <c r="F82" i="13" s="1"/>
  <c r="AM12" i="1"/>
  <c r="AM24" i="1"/>
  <c r="AL24" i="1"/>
  <c r="BE24" i="1"/>
  <c r="AC24" i="1" s="1"/>
  <c r="B81" i="13"/>
  <c r="BE12" i="1"/>
  <c r="AC12" i="1" s="1"/>
  <c r="AO12" i="1" s="1"/>
  <c r="AL12" i="1"/>
  <c r="AO24" i="1" l="1"/>
  <c r="AR24" i="1" s="1"/>
  <c r="I58" i="13"/>
  <c r="F87" i="13" s="1"/>
  <c r="I48" i="13"/>
  <c r="F77" i="13" s="1"/>
  <c r="I82" i="13"/>
  <c r="F111" i="13" s="1"/>
  <c r="I50" i="13"/>
  <c r="F79" i="13" s="1"/>
  <c r="I41" i="13"/>
  <c r="F70" i="13" s="1"/>
  <c r="I56" i="13"/>
  <c r="F85" i="13" s="1"/>
  <c r="I54" i="13"/>
  <c r="F83" i="13" s="1"/>
  <c r="I57" i="13"/>
  <c r="F86" i="13" s="1"/>
  <c r="I81" i="13"/>
  <c r="F110" i="13" s="1"/>
  <c r="I47" i="13"/>
  <c r="F76" i="13" s="1"/>
  <c r="AR12" i="1" l="1"/>
  <c r="I44" i="13"/>
  <c r="F73" i="13" s="1"/>
  <c r="I51" i="13"/>
  <c r="F80" i="13" s="1"/>
  <c r="I55" i="13"/>
  <c r="F84" i="13" s="1"/>
  <c r="I43" i="13"/>
  <c r="F72" i="13" s="1"/>
  <c r="I42" i="13"/>
  <c r="F71" i="13" s="1"/>
  <c r="I45" i="13"/>
  <c r="F74" i="13" s="1"/>
  <c r="I49" i="13"/>
  <c r="F78" i="13" s="1"/>
  <c r="I46" i="13"/>
  <c r="F75" i="13" s="1"/>
  <c r="I68" i="13" l="1"/>
  <c r="F97" i="13" s="1"/>
  <c r="I67" i="13"/>
  <c r="F96" i="13" s="1"/>
  <c r="I52" i="13"/>
  <c r="F81" i="13" s="1"/>
  <c r="I40" i="13"/>
  <c r="F69" i="13" s="1"/>
  <c r="B12" i="7" l="1"/>
  <c r="AH4" i="1"/>
  <c r="B22" i="7"/>
  <c r="AD11" i="1" l="1"/>
  <c r="AE11" i="1" s="1"/>
  <c r="AE31" i="1" s="1"/>
  <c r="Z33" i="1" s="1"/>
  <c r="M11" i="17"/>
  <c r="AZ4" i="1"/>
  <c r="M11" i="15"/>
  <c r="BI11" i="1"/>
  <c r="M11" i="18"/>
  <c r="F92" i="13"/>
  <c r="BD11" i="1"/>
  <c r="F2" i="9" a="1"/>
  <c r="F2" i="9" l="1"/>
  <c r="D3" i="9" s="1"/>
  <c r="W33" i="18"/>
  <c r="Z33" i="15"/>
  <c r="AP11" i="1"/>
  <c r="AP31" i="1" s="1"/>
  <c r="C68" i="13"/>
  <c r="C118" i="13" s="1"/>
  <c r="S11" i="1"/>
  <c r="D6" i="9" a="1"/>
  <c r="O2" i="9" l="1"/>
  <c r="I6" i="9"/>
  <c r="R6" i="9" s="1"/>
  <c r="D6" i="9"/>
  <c r="M6" i="9" s="1"/>
  <c r="S11" i="18"/>
  <c r="S43" i="1"/>
  <c r="S11" i="15"/>
  <c r="S11" i="17"/>
  <c r="I39" i="13" l="1"/>
  <c r="F68" i="13" s="1"/>
  <c r="F118" i="13" s="1"/>
  <c r="D5" i="9"/>
  <c r="M5" i="9" s="1"/>
  <c r="D5" i="30"/>
  <c r="M5" i="30" s="1"/>
  <c r="M6" i="30"/>
  <c r="O2" i="30" l="1"/>
  <c r="D3" i="30"/>
  <c r="AA11" i="1"/>
  <c r="Q11" i="18"/>
  <c r="I6" i="30"/>
  <c r="R6" i="30" s="1"/>
  <c r="I5" i="9" a="1"/>
  <c r="Q43" i="1" l="1"/>
  <c r="I5" i="9"/>
  <c r="R5" i="9" s="1"/>
  <c r="Q11" i="17"/>
  <c r="R5" i="30"/>
  <c r="M3" i="30"/>
  <c r="Q11" i="15"/>
  <c r="BC11" i="1"/>
  <c r="AB11" i="1" s="1"/>
  <c r="D68" i="13"/>
  <c r="D118" i="13" s="1"/>
  <c r="BF11" i="1"/>
  <c r="E68" i="13"/>
  <c r="E118" i="13" s="1"/>
  <c r="O34" i="1" l="1"/>
  <c r="P34" i="18" s="1"/>
  <c r="M4" i="9"/>
  <c r="M3" i="9"/>
  <c r="AM11" i="1"/>
  <c r="AM31" i="1" s="1"/>
  <c r="AL11" i="1"/>
  <c r="AL31" i="1" s="1"/>
  <c r="M4" i="30"/>
  <c r="B68" i="13"/>
  <c r="B118" i="13" s="1"/>
  <c r="BE11" i="1"/>
  <c r="AC11" i="1" s="1"/>
  <c r="P34" i="15" l="1"/>
  <c r="AO11" i="1"/>
  <c r="AC31" i="1"/>
  <c r="Z32" i="1" s="1"/>
  <c r="Z32" i="15" l="1"/>
  <c r="W32" i="18"/>
  <c r="AO31" i="1"/>
  <c r="AR31" i="1" s="1"/>
  <c r="AR32" i="1" s="1"/>
  <c r="AR11" i="1"/>
  <c r="AR34" i="1" l="1"/>
  <c r="AR36" i="1" s="1"/>
  <c r="AR37" i="1" l="1"/>
  <c r="AR38" i="1" s="1"/>
  <c r="D41" i="7"/>
  <c r="D43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<sst xmlns="http://schemas.openxmlformats.org/spreadsheetml/2006/main" count="4629" uniqueCount="2636">
  <si>
    <t>WORKSHEET</t>
  </si>
  <si>
    <t>Bill to:</t>
  </si>
  <si>
    <t>Address:</t>
  </si>
  <si>
    <t>Date:</t>
  </si>
  <si>
    <t>Job:</t>
  </si>
  <si>
    <t>Verified:</t>
  </si>
  <si>
    <t># of</t>
  </si>
  <si>
    <t>PRICES</t>
  </si>
  <si>
    <t>Pr</t>
  </si>
  <si>
    <t>Pan</t>
  </si>
  <si>
    <t>Widths</t>
  </si>
  <si>
    <t>Yards</t>
  </si>
  <si>
    <t>Hardware</t>
  </si>
  <si>
    <t>Fabric</t>
  </si>
  <si>
    <t>Fabrication</t>
  </si>
  <si>
    <t>Installation</t>
  </si>
  <si>
    <t>TOTALS</t>
  </si>
  <si>
    <t>Totals</t>
  </si>
  <si>
    <t>Measurements OK</t>
  </si>
  <si>
    <t>Sub total</t>
  </si>
  <si>
    <t>Cust. Authorization:</t>
  </si>
  <si>
    <t>Acct. Executive:</t>
  </si>
  <si>
    <t>Sales Tax</t>
  </si>
  <si>
    <t xml:space="preserve">       TOTAL</t>
  </si>
  <si>
    <t>Line 1</t>
  </si>
  <si>
    <t>Line 2</t>
  </si>
  <si>
    <t>Line 3</t>
  </si>
  <si>
    <t>Line 4</t>
  </si>
  <si>
    <t>Line 5</t>
  </si>
  <si>
    <t>Line 6</t>
  </si>
  <si>
    <t>Line 7</t>
  </si>
  <si>
    <t>Line 8</t>
  </si>
  <si>
    <t>Line 9</t>
  </si>
  <si>
    <t>Line 10</t>
  </si>
  <si>
    <t>Line 11</t>
  </si>
  <si>
    <t>Line 12</t>
  </si>
  <si>
    <t>Line 13</t>
  </si>
  <si>
    <t>Line 14</t>
  </si>
  <si>
    <t>page 2 total</t>
  </si>
  <si>
    <t>Pricing sheet  page 1</t>
  </si>
  <si>
    <t>Ship to:</t>
  </si>
  <si>
    <t>widths</t>
  </si>
  <si>
    <t>charge</t>
  </si>
  <si>
    <t>Line 15</t>
  </si>
  <si>
    <t>Line 16</t>
  </si>
  <si>
    <t>Line 17</t>
  </si>
  <si>
    <t>Line 18</t>
  </si>
  <si>
    <t>Line 19</t>
  </si>
  <si>
    <t>Line 20</t>
  </si>
  <si>
    <t>rod</t>
  </si>
  <si>
    <t>ret</t>
  </si>
  <si>
    <t>length</t>
  </si>
  <si>
    <t>width</t>
  </si>
  <si>
    <t>measurements</t>
  </si>
  <si>
    <t>add ons</t>
  </si>
  <si>
    <t># widths</t>
  </si>
  <si>
    <t>adjust</t>
  </si>
  <si>
    <t>yards</t>
  </si>
  <si>
    <t>patterned</t>
  </si>
  <si>
    <t>RR</t>
  </si>
  <si>
    <t>Charge</t>
  </si>
  <si>
    <t>vertical</t>
  </si>
  <si>
    <t>finish</t>
  </si>
  <si>
    <t>+16</t>
  </si>
  <si>
    <t>cut</t>
  </si>
  <si>
    <t>yardage</t>
  </si>
  <si>
    <t>exact</t>
  </si>
  <si>
    <t>Price =</t>
  </si>
  <si>
    <t>type</t>
  </si>
  <si>
    <t>Customer's Measure</t>
  </si>
  <si>
    <t>Take Final Measure</t>
  </si>
  <si>
    <t>Misc.</t>
  </si>
  <si>
    <t>Eclipse Sunburst</t>
  </si>
  <si>
    <t>put in</t>
  </si>
  <si>
    <t xml:space="preserve">put in </t>
  </si>
  <si>
    <t>Rod size</t>
  </si>
  <si>
    <t>Drape Length</t>
  </si>
  <si>
    <t>Flat panel</t>
  </si>
  <si>
    <t>Diameter</t>
  </si>
  <si>
    <t>fabric size</t>
  </si>
  <si>
    <t>Drop</t>
  </si>
  <si>
    <t>net size</t>
  </si>
  <si>
    <t>Cut length</t>
  </si>
  <si>
    <t xml:space="preserve"># widths </t>
  </si>
  <si>
    <t># yards</t>
  </si>
  <si>
    <t>Frame</t>
  </si>
  <si>
    <t>Assembly</t>
  </si>
  <si>
    <t>insert fabric</t>
  </si>
  <si>
    <t>insert drop</t>
  </si>
  <si>
    <t>Special price adjust.</t>
  </si>
  <si>
    <t>other</t>
  </si>
  <si>
    <t>Bid Date</t>
  </si>
  <si>
    <t xml:space="preserve">              Special Instructions</t>
  </si>
  <si>
    <t>Quotation</t>
  </si>
  <si>
    <t>Total Bid</t>
  </si>
  <si>
    <t>Submitted by:</t>
  </si>
  <si>
    <t>Room</t>
  </si>
  <si>
    <t>Client:</t>
  </si>
  <si>
    <t>Attention:</t>
  </si>
  <si>
    <t>Accepted by:</t>
  </si>
  <si>
    <t xml:space="preserve"># of </t>
  </si>
  <si>
    <t>Drapes</t>
  </si>
  <si>
    <t>Tele:</t>
  </si>
  <si>
    <t>rods</t>
  </si>
  <si>
    <t>Sq. Ft.</t>
  </si>
  <si>
    <t>Tax Rate</t>
  </si>
  <si>
    <t>Account Executive</t>
  </si>
  <si>
    <t xml:space="preserve"> </t>
  </si>
  <si>
    <t>Contact:</t>
  </si>
  <si>
    <t>Cell:</t>
  </si>
  <si>
    <t>Area / Room</t>
  </si>
  <si>
    <t>Email:</t>
  </si>
  <si>
    <t>Taxable: WA, CA, ID</t>
  </si>
  <si>
    <t>Name</t>
  </si>
  <si>
    <t>Location</t>
  </si>
  <si>
    <t>+</t>
  </si>
  <si>
    <t>Pleat to</t>
  </si>
  <si>
    <t>Returns</t>
  </si>
  <si>
    <t>Pinned</t>
  </si>
  <si>
    <t>Lined</t>
  </si>
  <si>
    <t>Job number assigned by office</t>
  </si>
  <si>
    <t>Cut Size</t>
  </si>
  <si>
    <t>X</t>
  </si>
  <si>
    <t>Lining Fabric</t>
  </si>
  <si>
    <t>"Lining</t>
  </si>
  <si>
    <t>Fabric Width</t>
  </si>
  <si>
    <t>Lining Fabric Price</t>
  </si>
  <si>
    <t>Fabric Price</t>
  </si>
  <si>
    <t>Finish Size</t>
  </si>
  <si>
    <t>Lining width</t>
  </si>
  <si>
    <t>fabric Yards</t>
  </si>
  <si>
    <t>lining Yards</t>
  </si>
  <si>
    <t>Fabric Name</t>
  </si>
  <si>
    <t>width Size</t>
  </si>
  <si>
    <t xml:space="preserve">Duvetyne </t>
  </si>
  <si>
    <t>Lining</t>
  </si>
  <si>
    <t xml:space="preserve">tax % </t>
  </si>
  <si>
    <t>Office:</t>
  </si>
  <si>
    <t>Actual Lining</t>
  </si>
  <si>
    <t>Lining+ Y= lined, nothing = Not lined</t>
  </si>
  <si>
    <t>Charge Lining</t>
  </si>
  <si>
    <t>Actual Fabric</t>
  </si>
  <si>
    <t>Charge Fabric</t>
  </si>
  <si>
    <t>L</t>
  </si>
  <si>
    <t>D</t>
  </si>
  <si>
    <t>Drapery Type</t>
  </si>
  <si>
    <t>R</t>
  </si>
  <si>
    <t>S</t>
  </si>
  <si>
    <t>ST</t>
  </si>
  <si>
    <t>F</t>
  </si>
  <si>
    <t xml:space="preserve">Handcart White </t>
  </si>
  <si>
    <t xml:space="preserve">Handcart Snow </t>
  </si>
  <si>
    <t xml:space="preserve">Fayette </t>
  </si>
  <si>
    <t xml:space="preserve">Dixie </t>
  </si>
  <si>
    <t xml:space="preserve">Mirage </t>
  </si>
  <si>
    <t xml:space="preserve">Zanzibar </t>
  </si>
  <si>
    <t xml:space="preserve">Rosette </t>
  </si>
  <si>
    <t xml:space="preserve">Petals </t>
  </si>
  <si>
    <t xml:space="preserve">Liteless </t>
  </si>
  <si>
    <t xml:space="preserve">Flameguard </t>
  </si>
  <si>
    <t xml:space="preserve">Prism </t>
  </si>
  <si>
    <t xml:space="preserve">Hurricane </t>
  </si>
  <si>
    <t xml:space="preserve">Denim </t>
  </si>
  <si>
    <t xml:space="preserve">Prestige </t>
  </si>
  <si>
    <t xml:space="preserve">Memorable </t>
  </si>
  <si>
    <t>P90-RS25</t>
  </si>
  <si>
    <t>P89-RS25</t>
  </si>
  <si>
    <t>P88-RS25</t>
  </si>
  <si>
    <t>P87-RS25</t>
  </si>
  <si>
    <t>P86-RS25</t>
  </si>
  <si>
    <t>P85-RS25</t>
  </si>
  <si>
    <t>P84-RS25</t>
  </si>
  <si>
    <t>P83-RS25</t>
  </si>
  <si>
    <t>P82-RS25</t>
  </si>
  <si>
    <t>P81-RS25</t>
  </si>
  <si>
    <t>P80-RS25</t>
  </si>
  <si>
    <t>P79-RS25</t>
  </si>
  <si>
    <t>P78-RS25</t>
  </si>
  <si>
    <t>P77-RS25</t>
  </si>
  <si>
    <t>P76-RS25</t>
  </si>
  <si>
    <t>P75-RS25</t>
  </si>
  <si>
    <t>P74-RS25</t>
  </si>
  <si>
    <t>P73-RS25</t>
  </si>
  <si>
    <t>P72-RS25</t>
  </si>
  <si>
    <t>P71-RS25</t>
  </si>
  <si>
    <t>P70-RS25</t>
  </si>
  <si>
    <t>P69-RS25</t>
  </si>
  <si>
    <t>P68-RS25</t>
  </si>
  <si>
    <t>P67-RS25</t>
  </si>
  <si>
    <t>P66-RS25</t>
  </si>
  <si>
    <t>P65-RS25</t>
  </si>
  <si>
    <t>P64-RS25</t>
  </si>
  <si>
    <t>P63-RS25</t>
  </si>
  <si>
    <t>P62-RS25</t>
  </si>
  <si>
    <t>P61-RS25</t>
  </si>
  <si>
    <t>P60-RS25</t>
  </si>
  <si>
    <t>P59-RS25</t>
  </si>
  <si>
    <t>P58-RS25</t>
  </si>
  <si>
    <t>P57-RS25</t>
  </si>
  <si>
    <t>P56-RS25</t>
  </si>
  <si>
    <t>P55-RS25</t>
  </si>
  <si>
    <t>P54-RS25</t>
  </si>
  <si>
    <t>P53-RS25</t>
  </si>
  <si>
    <t>P52-RS25</t>
  </si>
  <si>
    <t>P51-RS25</t>
  </si>
  <si>
    <t>P50-RS25</t>
  </si>
  <si>
    <t>P49-RS25</t>
  </si>
  <si>
    <t>P48-RS25</t>
  </si>
  <si>
    <t>P47-RS25</t>
  </si>
  <si>
    <t>P46-RS25</t>
  </si>
  <si>
    <t>P45-RS25</t>
  </si>
  <si>
    <t>P44-RS25</t>
  </si>
  <si>
    <t>P43-RS25</t>
  </si>
  <si>
    <t>P42-RS25</t>
  </si>
  <si>
    <t>P41-RS25</t>
  </si>
  <si>
    <t>P40-RS25</t>
  </si>
  <si>
    <t>P39-RS25</t>
  </si>
  <si>
    <t>P38-RS25</t>
  </si>
  <si>
    <t>P37-RS25</t>
  </si>
  <si>
    <t>P36-RS25</t>
  </si>
  <si>
    <t>P35-RS25</t>
  </si>
  <si>
    <t>P34-RS25</t>
  </si>
  <si>
    <t>P33-RS25</t>
  </si>
  <si>
    <t>P32-RS25</t>
  </si>
  <si>
    <t>P31-RS25</t>
  </si>
  <si>
    <t>P30-25</t>
  </si>
  <si>
    <t>P29-25</t>
  </si>
  <si>
    <t>P28-25</t>
  </si>
  <si>
    <t>P27-25</t>
  </si>
  <si>
    <t>P26-25</t>
  </si>
  <si>
    <t>P25-25</t>
  </si>
  <si>
    <t>P24-25</t>
  </si>
  <si>
    <t>P23-25</t>
  </si>
  <si>
    <t>P22-25</t>
  </si>
  <si>
    <t>P21-25</t>
  </si>
  <si>
    <t>P20-25</t>
  </si>
  <si>
    <t>P19-25</t>
  </si>
  <si>
    <t>P18-25</t>
  </si>
  <si>
    <t>P17-25</t>
  </si>
  <si>
    <t>P16-25</t>
  </si>
  <si>
    <t>P15-25</t>
  </si>
  <si>
    <t>P14-25</t>
  </si>
  <si>
    <t>P13-25</t>
  </si>
  <si>
    <t>P12-25</t>
  </si>
  <si>
    <t>P11-25</t>
  </si>
  <si>
    <t>P10-25</t>
  </si>
  <si>
    <t>P9-25</t>
  </si>
  <si>
    <t>P8-25</t>
  </si>
  <si>
    <t>P7-25</t>
  </si>
  <si>
    <t>P2-25</t>
  </si>
  <si>
    <t>P1-25</t>
  </si>
  <si>
    <t>P90-RS24</t>
  </si>
  <si>
    <t>P89-RS24</t>
  </si>
  <si>
    <t>P88-RS24</t>
  </si>
  <si>
    <t>P87-RS24</t>
  </si>
  <si>
    <t>P86-RS24</t>
  </si>
  <si>
    <t>P85-RS24</t>
  </si>
  <si>
    <t>P84-RS24</t>
  </si>
  <si>
    <t>P83-RS24</t>
  </si>
  <si>
    <t>P82-RS24</t>
  </si>
  <si>
    <t>P81-RS24</t>
  </si>
  <si>
    <t>P80-RS24</t>
  </si>
  <si>
    <t>P79-RS24</t>
  </si>
  <si>
    <t>P78-RS24</t>
  </si>
  <si>
    <t>P77-RS24</t>
  </si>
  <si>
    <t>P76-RS24</t>
  </si>
  <si>
    <t>P75-RS24</t>
  </si>
  <si>
    <t>P74-RS24</t>
  </si>
  <si>
    <t>P73-RS24</t>
  </si>
  <si>
    <t>P72-RS24</t>
  </si>
  <si>
    <t>P71-RS24</t>
  </si>
  <si>
    <t>P70-RS24</t>
  </si>
  <si>
    <t>P69-RS24</t>
  </si>
  <si>
    <t>P68-RS24</t>
  </si>
  <si>
    <t>P67-RS24</t>
  </si>
  <si>
    <t>P66-RS24</t>
  </si>
  <si>
    <t>P65-RS24</t>
  </si>
  <si>
    <t>P64-RS24</t>
  </si>
  <si>
    <t>P63-RS24</t>
  </si>
  <si>
    <t>P62-RS24</t>
  </si>
  <si>
    <t>P61-RS24</t>
  </si>
  <si>
    <t>P60-RS24</t>
  </si>
  <si>
    <t>P59-RS24</t>
  </si>
  <si>
    <t>P58-RS24</t>
  </si>
  <si>
    <t>P57-RS24</t>
  </si>
  <si>
    <t>P56-RS24</t>
  </si>
  <si>
    <t>P55-RS24</t>
  </si>
  <si>
    <t>P54-RS24</t>
  </si>
  <si>
    <t>P53-RS24</t>
  </si>
  <si>
    <t>P52-RS24</t>
  </si>
  <si>
    <t>P51-RS24</t>
  </si>
  <si>
    <t>P50-RS24</t>
  </si>
  <si>
    <t>P49-RS24</t>
  </si>
  <si>
    <t>P48-RS24</t>
  </si>
  <si>
    <t>P47-RS24</t>
  </si>
  <si>
    <t>P46-RS24</t>
  </si>
  <si>
    <t>P45-RS24</t>
  </si>
  <si>
    <t>P44-RS24</t>
  </si>
  <si>
    <t>P43-RS24</t>
  </si>
  <si>
    <t>P42-RS24</t>
  </si>
  <si>
    <t>P41-RS24</t>
  </si>
  <si>
    <t>P40-RS24</t>
  </si>
  <si>
    <t>P39-RS24</t>
  </si>
  <si>
    <t>P38-RS24</t>
  </si>
  <si>
    <t>P37-RS24</t>
  </si>
  <si>
    <t>P36-RS24</t>
  </si>
  <si>
    <t>P35-RS24</t>
  </si>
  <si>
    <t>P34-RS24</t>
  </si>
  <si>
    <t>P33-RS24</t>
  </si>
  <si>
    <t>P32-RS24</t>
  </si>
  <si>
    <t>P31-RS24</t>
  </si>
  <si>
    <t>P30-24</t>
  </si>
  <si>
    <t>P29-24</t>
  </si>
  <si>
    <t>P28-24</t>
  </si>
  <si>
    <t>P27-24</t>
  </si>
  <si>
    <t>P26-24</t>
  </si>
  <si>
    <t>P25-24</t>
  </si>
  <si>
    <t>P24-24</t>
  </si>
  <si>
    <t>P23-24</t>
  </si>
  <si>
    <t>P22-24</t>
  </si>
  <si>
    <t>P21-24</t>
  </si>
  <si>
    <t>P20-24</t>
  </si>
  <si>
    <t>P19-24</t>
  </si>
  <si>
    <t>P18-24</t>
  </si>
  <si>
    <t>P17-24</t>
  </si>
  <si>
    <t>P16-24</t>
  </si>
  <si>
    <t>P15-24</t>
  </si>
  <si>
    <t>P14-24</t>
  </si>
  <si>
    <t>P13-24</t>
  </si>
  <si>
    <t>P12-24</t>
  </si>
  <si>
    <t>P11-24</t>
  </si>
  <si>
    <t>P10-24</t>
  </si>
  <si>
    <t>P9-24</t>
  </si>
  <si>
    <t>P8-24</t>
  </si>
  <si>
    <t>P7-24</t>
  </si>
  <si>
    <t>P2-24</t>
  </si>
  <si>
    <t>P1-24</t>
  </si>
  <si>
    <t>P90-RS23</t>
  </si>
  <si>
    <t>P89-RS23</t>
  </si>
  <si>
    <t>P88-RS23</t>
  </si>
  <si>
    <t>P87-RS23</t>
  </si>
  <si>
    <t>P86-RS23</t>
  </si>
  <si>
    <t>P85-RS23</t>
  </si>
  <si>
    <t>P84-RS23</t>
  </si>
  <si>
    <t>P83-RS23</t>
  </si>
  <si>
    <t>P82-RS23</t>
  </si>
  <si>
    <t>P81-RS23</t>
  </si>
  <si>
    <t>P80-RS23</t>
  </si>
  <si>
    <t>P79-RS23</t>
  </si>
  <si>
    <t>P78-RS23</t>
  </si>
  <si>
    <t>P77-RS23</t>
  </si>
  <si>
    <t>P76-RS23</t>
  </si>
  <si>
    <t>P75-RS23</t>
  </si>
  <si>
    <t>P74-RS23</t>
  </si>
  <si>
    <t>P73-RS23</t>
  </si>
  <si>
    <t>P72-RS23</t>
  </si>
  <si>
    <t>P71-RS23</t>
  </si>
  <si>
    <t>P70-RS23</t>
  </si>
  <si>
    <t>P69-RS23</t>
  </si>
  <si>
    <t>P68-RS23</t>
  </si>
  <si>
    <t>P67-RS23</t>
  </si>
  <si>
    <t>P66-RS23</t>
  </si>
  <si>
    <t>P65-RS23</t>
  </si>
  <si>
    <t>P64-RS23</t>
  </si>
  <si>
    <t>P63-RS23</t>
  </si>
  <si>
    <t>P62-RS23</t>
  </si>
  <si>
    <t>P61-RS23</t>
  </si>
  <si>
    <t>P60-RS23</t>
  </si>
  <si>
    <t>P59-RS23</t>
  </si>
  <si>
    <t>P58-RS23</t>
  </si>
  <si>
    <t>P57-RS23</t>
  </si>
  <si>
    <t>P56-RS23</t>
  </si>
  <si>
    <t>P55-RS23</t>
  </si>
  <si>
    <t>P54-RS23</t>
  </si>
  <si>
    <t>P53-RS23</t>
  </si>
  <si>
    <t>P52-RS23</t>
  </si>
  <si>
    <t>P51-RS23</t>
  </si>
  <si>
    <t>P50-RS23</t>
  </si>
  <si>
    <t>P49-RS23</t>
  </si>
  <si>
    <t>P48-RS23</t>
  </si>
  <si>
    <t>P47-RS23</t>
  </si>
  <si>
    <t>P46-RS23</t>
  </si>
  <si>
    <t>P45-RS23</t>
  </si>
  <si>
    <t>P44-RS23</t>
  </si>
  <si>
    <t>P43-RS23</t>
  </si>
  <si>
    <t>P42-RS23</t>
  </si>
  <si>
    <t>P41-RS23</t>
  </si>
  <si>
    <t>P40-RS23</t>
  </si>
  <si>
    <t>P39-RS23</t>
  </si>
  <si>
    <t>P38-RS23</t>
  </si>
  <si>
    <t>P37-RS23</t>
  </si>
  <si>
    <t>P36-RS23</t>
  </si>
  <si>
    <t>P35-RS23</t>
  </si>
  <si>
    <t>P34-RS23</t>
  </si>
  <si>
    <t>P33-RS23</t>
  </si>
  <si>
    <t>P32-RS23</t>
  </si>
  <si>
    <t>P31-RS23</t>
  </si>
  <si>
    <t>P30-23</t>
  </si>
  <si>
    <t>P29-23</t>
  </si>
  <si>
    <t>P28-23</t>
  </si>
  <si>
    <t>P27-23</t>
  </si>
  <si>
    <t>P26-23</t>
  </si>
  <si>
    <t>P25-23</t>
  </si>
  <si>
    <t>P24-23</t>
  </si>
  <si>
    <t>P23-23</t>
  </si>
  <si>
    <t>P22-23</t>
  </si>
  <si>
    <t>P21-23</t>
  </si>
  <si>
    <t>P20-23</t>
  </si>
  <si>
    <t>P19-23</t>
  </si>
  <si>
    <t>P18-23</t>
  </si>
  <si>
    <t>P17-23</t>
  </si>
  <si>
    <t>P16-23</t>
  </si>
  <si>
    <t>P15-23</t>
  </si>
  <si>
    <t>P14-23</t>
  </si>
  <si>
    <t>P13-23</t>
  </si>
  <si>
    <t>P12-23</t>
  </si>
  <si>
    <t>P11-23</t>
  </si>
  <si>
    <t>P10-23</t>
  </si>
  <si>
    <t>P9-23</t>
  </si>
  <si>
    <t>P8-23</t>
  </si>
  <si>
    <t>P7-23</t>
  </si>
  <si>
    <t>P2-23</t>
  </si>
  <si>
    <t>P1-23</t>
  </si>
  <si>
    <t>P90-RS22</t>
  </si>
  <si>
    <t>P89-RS22</t>
  </si>
  <si>
    <t>P88-RS22</t>
  </si>
  <si>
    <t>P87-RS22</t>
  </si>
  <si>
    <t>P86-RS22</t>
  </si>
  <si>
    <t>P85-RS22</t>
  </si>
  <si>
    <t>P84-RS22</t>
  </si>
  <si>
    <t>P83-RS22</t>
  </si>
  <si>
    <t>P82-RS22</t>
  </si>
  <si>
    <t>P81-RS22</t>
  </si>
  <si>
    <t>P80-RS22</t>
  </si>
  <si>
    <t>P79-RS22</t>
  </si>
  <si>
    <t>P78-RS22</t>
  </si>
  <si>
    <t>P77-RS22</t>
  </si>
  <si>
    <t>P76-RS22</t>
  </si>
  <si>
    <t>P75-RS22</t>
  </si>
  <si>
    <t>P74-RS22</t>
  </si>
  <si>
    <t>P73-RS22</t>
  </si>
  <si>
    <t>P72-RS22</t>
  </si>
  <si>
    <t>P71-RS22</t>
  </si>
  <si>
    <t>P70-RS22</t>
  </si>
  <si>
    <t>P69-RS22</t>
  </si>
  <si>
    <t>P68-RS22</t>
  </si>
  <si>
    <t>P67-RS22</t>
  </si>
  <si>
    <t>P66-RS22</t>
  </si>
  <si>
    <t>P65-RS22</t>
  </si>
  <si>
    <t>P64-RS22</t>
  </si>
  <si>
    <t>P63-RS22</t>
  </si>
  <si>
    <t>P62-RS22</t>
  </si>
  <si>
    <t>P61-RS22</t>
  </si>
  <si>
    <t>P60-RS22</t>
  </si>
  <si>
    <t>P59-RS22</t>
  </si>
  <si>
    <t>P58-RS22</t>
  </si>
  <si>
    <t>P57-RS22</t>
  </si>
  <si>
    <t>P56-RS22</t>
  </si>
  <si>
    <t>P55-RS22</t>
  </si>
  <si>
    <t>P54-RS22</t>
  </si>
  <si>
    <t>P53-RS22</t>
  </si>
  <si>
    <t>P52-RS22</t>
  </si>
  <si>
    <t>P51-RS22</t>
  </si>
  <si>
    <t>P50-RS22</t>
  </si>
  <si>
    <t>P49-RS22</t>
  </si>
  <si>
    <t>P48-RS22</t>
  </si>
  <si>
    <t>P47-RS22</t>
  </si>
  <si>
    <t>P46-RS22</t>
  </si>
  <si>
    <t>P45-RS22</t>
  </si>
  <si>
    <t>P44-RS22</t>
  </si>
  <si>
    <t>P43-RS22</t>
  </si>
  <si>
    <t>P42-RS22</t>
  </si>
  <si>
    <t>P41-RS22</t>
  </si>
  <si>
    <t>P40-RS22</t>
  </si>
  <si>
    <t>P39-RS22</t>
  </si>
  <si>
    <t>P38-RS22</t>
  </si>
  <si>
    <t>P37-RS22</t>
  </si>
  <si>
    <t>P36-RS22</t>
  </si>
  <si>
    <t>P35-RS22</t>
  </si>
  <si>
    <t>P34-RS22</t>
  </si>
  <si>
    <t>P33-RS22</t>
  </si>
  <si>
    <t>P32-RS22</t>
  </si>
  <si>
    <t>P31-RS22</t>
  </si>
  <si>
    <t>P30-22</t>
  </si>
  <si>
    <t>P29-22</t>
  </si>
  <si>
    <t>P28-22</t>
  </si>
  <si>
    <t>P27-22</t>
  </si>
  <si>
    <t>P26-22</t>
  </si>
  <si>
    <t>P25-22</t>
  </si>
  <si>
    <t>P24-22</t>
  </si>
  <si>
    <t>P23-22</t>
  </si>
  <si>
    <t>P22-22</t>
  </si>
  <si>
    <t>P21-22</t>
  </si>
  <si>
    <t>P20-22</t>
  </si>
  <si>
    <t>P19-22</t>
  </si>
  <si>
    <t>P18-22</t>
  </si>
  <si>
    <t>P17-22</t>
  </si>
  <si>
    <t>P16-22</t>
  </si>
  <si>
    <t>P15-22</t>
  </si>
  <si>
    <t>P14-22</t>
  </si>
  <si>
    <t>P13-22</t>
  </si>
  <si>
    <t>P12-22</t>
  </si>
  <si>
    <t>P11-22</t>
  </si>
  <si>
    <t>P10-22</t>
  </si>
  <si>
    <t>P9-22</t>
  </si>
  <si>
    <t>P8-22</t>
  </si>
  <si>
    <t>P7-22</t>
  </si>
  <si>
    <t>P2-22</t>
  </si>
  <si>
    <t>P1-22</t>
  </si>
  <si>
    <t>P90-RS21</t>
  </si>
  <si>
    <t>P89-RS21</t>
  </si>
  <si>
    <t>P88-RS21</t>
  </si>
  <si>
    <t>P87-RS21</t>
  </si>
  <si>
    <t>P86-RS21</t>
  </si>
  <si>
    <t>P85-RS21</t>
  </si>
  <si>
    <t>P84-RS21</t>
  </si>
  <si>
    <t>P83-RS21</t>
  </si>
  <si>
    <t>P82-RS21</t>
  </si>
  <si>
    <t>P81-RS21</t>
  </si>
  <si>
    <t>P80-RS21</t>
  </si>
  <si>
    <t>P79-RS21</t>
  </si>
  <si>
    <t>P78-RS21</t>
  </si>
  <si>
    <t>P77-RS21</t>
  </si>
  <si>
    <t>P76-RS21</t>
  </si>
  <si>
    <t>P75-RS21</t>
  </si>
  <si>
    <t>P74-RS21</t>
  </si>
  <si>
    <t>P73-RS21</t>
  </si>
  <si>
    <t>P72-RS21</t>
  </si>
  <si>
    <t>P71-RS21</t>
  </si>
  <si>
    <t>P70-RS21</t>
  </si>
  <si>
    <t>P69-RS21</t>
  </si>
  <si>
    <t>P68-RS21</t>
  </si>
  <si>
    <t>P67-RS21</t>
  </si>
  <si>
    <t>P66-RS21</t>
  </si>
  <si>
    <t>P65-RS21</t>
  </si>
  <si>
    <t>P64-RS21</t>
  </si>
  <si>
    <t>P63-RS21</t>
  </si>
  <si>
    <t>P62-RS21</t>
  </si>
  <si>
    <t>P61-RS21</t>
  </si>
  <si>
    <t>P60-RS21</t>
  </si>
  <si>
    <t>P59-RS21</t>
  </si>
  <si>
    <t>P58-RS21</t>
  </si>
  <si>
    <t>P57-RS21</t>
  </si>
  <si>
    <t>P56-RS21</t>
  </si>
  <si>
    <t>P55-RS21</t>
  </si>
  <si>
    <t>P54-RS21</t>
  </si>
  <si>
    <t>P53-RS21</t>
  </si>
  <si>
    <t>P52-RS21</t>
  </si>
  <si>
    <t>P51-RS21</t>
  </si>
  <si>
    <t>P50-RS21</t>
  </si>
  <si>
    <t>P49-RS21</t>
  </si>
  <si>
    <t>P48-RS21</t>
  </si>
  <si>
    <t>P47-RS21</t>
  </si>
  <si>
    <t>P46-RS21</t>
  </si>
  <si>
    <t>P45-RS21</t>
  </si>
  <si>
    <t>P44-RS21</t>
  </si>
  <si>
    <t>P43-RS21</t>
  </si>
  <si>
    <t>P42-RS21</t>
  </si>
  <si>
    <t>P41-RS21</t>
  </si>
  <si>
    <t>P40-RS21</t>
  </si>
  <si>
    <t>P39-RS21</t>
  </si>
  <si>
    <t>P38-RS21</t>
  </si>
  <si>
    <t>P37-RS21</t>
  </si>
  <si>
    <t>P36-RS21</t>
  </si>
  <si>
    <t>P35-RS21</t>
  </si>
  <si>
    <t>P34-RS21</t>
  </si>
  <si>
    <t>P33-RS21</t>
  </si>
  <si>
    <t>P32-RS21</t>
  </si>
  <si>
    <t>P31-RS21</t>
  </si>
  <si>
    <t>P30-21</t>
  </si>
  <si>
    <t>P29-21</t>
  </si>
  <si>
    <t>P28-21</t>
  </si>
  <si>
    <t>P27-21</t>
  </si>
  <si>
    <t>P26-21</t>
  </si>
  <si>
    <t>P25-21</t>
  </si>
  <si>
    <t>P24-21</t>
  </si>
  <si>
    <t>P23-21</t>
  </si>
  <si>
    <t>P22-21</t>
  </si>
  <si>
    <t>P21-21</t>
  </si>
  <si>
    <t>P20-21</t>
  </si>
  <si>
    <t>P19-21</t>
  </si>
  <si>
    <t>P18-21</t>
  </si>
  <si>
    <t>P17-21</t>
  </si>
  <si>
    <t>P16-21</t>
  </si>
  <si>
    <t>P15-21</t>
  </si>
  <si>
    <t>P14-21</t>
  </si>
  <si>
    <t>P13-21</t>
  </si>
  <si>
    <t>P12-21</t>
  </si>
  <si>
    <t>P11-21</t>
  </si>
  <si>
    <t>P10-21</t>
  </si>
  <si>
    <t>P9-21</t>
  </si>
  <si>
    <t>P8-21</t>
  </si>
  <si>
    <t>P7-21</t>
  </si>
  <si>
    <t>P2-21</t>
  </si>
  <si>
    <t>P1-21</t>
  </si>
  <si>
    <t>P90-RS20</t>
  </si>
  <si>
    <t>P89-RS20</t>
  </si>
  <si>
    <t>P88-RS20</t>
  </si>
  <si>
    <t>P87-RS20</t>
  </si>
  <si>
    <t>P86-RS20</t>
  </si>
  <si>
    <t>P85-RS20</t>
  </si>
  <si>
    <t>P84-RS20</t>
  </si>
  <si>
    <t>P83-RS20</t>
  </si>
  <si>
    <t>P82-RS20</t>
  </si>
  <si>
    <t>P81-RS20</t>
  </si>
  <si>
    <t>P80-RS20</t>
  </si>
  <si>
    <t>P79-RS20</t>
  </si>
  <si>
    <t>P78-RS20</t>
  </si>
  <si>
    <t>P77-RS20</t>
  </si>
  <si>
    <t>P76-RS20</t>
  </si>
  <si>
    <t>P75-RS20</t>
  </si>
  <si>
    <t>P74-RS20</t>
  </si>
  <si>
    <t>P73-RS20</t>
  </si>
  <si>
    <t>P72-RS20</t>
  </si>
  <si>
    <t>P71-RS20</t>
  </si>
  <si>
    <t>P70-RS20</t>
  </si>
  <si>
    <t>P69-RS20</t>
  </si>
  <si>
    <t>P68-RS20</t>
  </si>
  <si>
    <t>P67-RS20</t>
  </si>
  <si>
    <t>P66-RS20</t>
  </si>
  <si>
    <t>P65-RS20</t>
  </si>
  <si>
    <t>P64-RS20</t>
  </si>
  <si>
    <t>P63-RS20</t>
  </si>
  <si>
    <t>P62-RS20</t>
  </si>
  <si>
    <t>P61-RS20</t>
  </si>
  <si>
    <t>P60-RS20</t>
  </si>
  <si>
    <t>P59-RS20</t>
  </si>
  <si>
    <t>P58-RS20</t>
  </si>
  <si>
    <t>P57-RS20</t>
  </si>
  <si>
    <t>P56-RS20</t>
  </si>
  <si>
    <t>P55-RS20</t>
  </si>
  <si>
    <t>P54-RS20</t>
  </si>
  <si>
    <t>P53-RS20</t>
  </si>
  <si>
    <t>P52-RS20</t>
  </si>
  <si>
    <t>P51-RS20</t>
  </si>
  <si>
    <t>P50-RS20</t>
  </si>
  <si>
    <t>P49-RS20</t>
  </si>
  <si>
    <t>P48-RS20</t>
  </si>
  <si>
    <t>P47-RS20</t>
  </si>
  <si>
    <t>P46-RS20</t>
  </si>
  <si>
    <t>P45-RS20</t>
  </si>
  <si>
    <t>P44-RS20</t>
  </si>
  <si>
    <t>P43-RS20</t>
  </si>
  <si>
    <t>P42-RS20</t>
  </si>
  <si>
    <t>P41-RS20</t>
  </si>
  <si>
    <t>P40-RS20</t>
  </si>
  <si>
    <t>P39-RS20</t>
  </si>
  <si>
    <t>P38-RS20</t>
  </si>
  <si>
    <t>P37-RS20</t>
  </si>
  <si>
    <t>P36-RS20</t>
  </si>
  <si>
    <t>P35-RS20</t>
  </si>
  <si>
    <t>P34-RS20</t>
  </si>
  <si>
    <t>P33-RS20</t>
  </si>
  <si>
    <t>P32-RS20</t>
  </si>
  <si>
    <t>P31-RS20</t>
  </si>
  <si>
    <t>P30-20</t>
  </si>
  <si>
    <t>P29-20</t>
  </si>
  <si>
    <t>P28-20</t>
  </si>
  <si>
    <t>P27-20</t>
  </si>
  <si>
    <t>P26-20</t>
  </si>
  <si>
    <t>P25-20</t>
  </si>
  <si>
    <t>P24-20</t>
  </si>
  <si>
    <t>P23-20</t>
  </si>
  <si>
    <t>P22-20</t>
  </si>
  <si>
    <t>P21-20</t>
  </si>
  <si>
    <t>P20-20</t>
  </si>
  <si>
    <t>P19-20</t>
  </si>
  <si>
    <t>P18-20</t>
  </si>
  <si>
    <t>P17-20</t>
  </si>
  <si>
    <t>P16-20</t>
  </si>
  <si>
    <t>P15-20</t>
  </si>
  <si>
    <t>P14-20</t>
  </si>
  <si>
    <t>P13-20</t>
  </si>
  <si>
    <t>P12-20</t>
  </si>
  <si>
    <t>P11-20</t>
  </si>
  <si>
    <t>P10-20</t>
  </si>
  <si>
    <t>P9-20</t>
  </si>
  <si>
    <t>P8-20</t>
  </si>
  <si>
    <t>P7-20</t>
  </si>
  <si>
    <t>P1-20</t>
  </si>
  <si>
    <t>P90-RS19</t>
  </si>
  <si>
    <t>P89-RS19</t>
  </si>
  <si>
    <t>P88-RS19</t>
  </si>
  <si>
    <t>P87-RS19</t>
  </si>
  <si>
    <t>P86-RS19</t>
  </si>
  <si>
    <t>P85-RS19</t>
  </si>
  <si>
    <t>P84-RS19</t>
  </si>
  <si>
    <t>P83-RS19</t>
  </si>
  <si>
    <t>P82-RS19</t>
  </si>
  <si>
    <t>P81-RS19</t>
  </si>
  <si>
    <t>P80-RS19</t>
  </si>
  <si>
    <t>P79-RS19</t>
  </si>
  <si>
    <t>P78-RS19</t>
  </si>
  <si>
    <t>P77-RS19</t>
  </si>
  <si>
    <t>P76-RS19</t>
  </si>
  <si>
    <t>P75-RS19</t>
  </si>
  <si>
    <t>P74-RS19</t>
  </si>
  <si>
    <t>P73-RS19</t>
  </si>
  <si>
    <t>P72-RS19</t>
  </si>
  <si>
    <t>P71-RS19</t>
  </si>
  <si>
    <t>P70-RS19</t>
  </si>
  <si>
    <t>P69-RS19</t>
  </si>
  <si>
    <t>P68-RS19</t>
  </si>
  <si>
    <t>P67-RS19</t>
  </si>
  <si>
    <t>P66-RS19</t>
  </si>
  <si>
    <t>P65-RS19</t>
  </si>
  <si>
    <t>P64-RS19</t>
  </si>
  <si>
    <t>P63-RS19</t>
  </si>
  <si>
    <t>P62-RS19</t>
  </si>
  <si>
    <t>P61-RS19</t>
  </si>
  <si>
    <t>P60-RS19</t>
  </si>
  <si>
    <t>P59-RS19</t>
  </si>
  <si>
    <t>P58-RS19</t>
  </si>
  <si>
    <t>P57-RS19</t>
  </si>
  <si>
    <t>P56-RS19</t>
  </si>
  <si>
    <t>P55-RS19</t>
  </si>
  <si>
    <t>P54-RS19</t>
  </si>
  <si>
    <t>P53-RS19</t>
  </si>
  <si>
    <t>P52-RS19</t>
  </si>
  <si>
    <t>P51-RS19</t>
  </si>
  <si>
    <t>P50-RS19</t>
  </si>
  <si>
    <t>P49-RS19</t>
  </si>
  <si>
    <t>P48-RS19</t>
  </si>
  <si>
    <t>P47-RS19</t>
  </si>
  <si>
    <t>P46-RS19</t>
  </si>
  <si>
    <t>P45-RS19</t>
  </si>
  <si>
    <t>P44-RS19</t>
  </si>
  <si>
    <t>P43-RS19</t>
  </si>
  <si>
    <t>P42-RS19</t>
  </si>
  <si>
    <t>P41-RS19</t>
  </si>
  <si>
    <t>P40-RS19</t>
  </si>
  <si>
    <t>P39-RS19</t>
  </si>
  <si>
    <t>P38-RS19</t>
  </si>
  <si>
    <t>P37-RS19</t>
  </si>
  <si>
    <t>P36-RS19</t>
  </si>
  <si>
    <t>P35-RS19</t>
  </si>
  <si>
    <t>P34-RS19</t>
  </si>
  <si>
    <t>P33-RS19</t>
  </si>
  <si>
    <t>P32-RS19</t>
  </si>
  <si>
    <t>P31-RS19</t>
  </si>
  <si>
    <t>P30-19</t>
  </si>
  <si>
    <t>P29-19</t>
  </si>
  <si>
    <t>P28-19</t>
  </si>
  <si>
    <t>P27-19</t>
  </si>
  <si>
    <t>P26-19</t>
  </si>
  <si>
    <t>P25-19</t>
  </si>
  <si>
    <t>P24-19</t>
  </si>
  <si>
    <t>P23-19</t>
  </si>
  <si>
    <t>P22-19</t>
  </si>
  <si>
    <t>P21-19</t>
  </si>
  <si>
    <t>P20-19</t>
  </si>
  <si>
    <t>P19-19</t>
  </si>
  <si>
    <t>P18-19</t>
  </si>
  <si>
    <t>P17-19</t>
  </si>
  <si>
    <t>P16-19</t>
  </si>
  <si>
    <t>P15-19</t>
  </si>
  <si>
    <t>P14-19</t>
  </si>
  <si>
    <t>P13-19</t>
  </si>
  <si>
    <t>P12-19</t>
  </si>
  <si>
    <t>P11-19</t>
  </si>
  <si>
    <t>P10-19</t>
  </si>
  <si>
    <t>P9-19</t>
  </si>
  <si>
    <t>P8-19</t>
  </si>
  <si>
    <t>P7-19</t>
  </si>
  <si>
    <t>P1-19</t>
  </si>
  <si>
    <t>P90-RS18</t>
  </si>
  <si>
    <t>P89-RS18</t>
  </si>
  <si>
    <t>P88-RS18</t>
  </si>
  <si>
    <t>P87-RS18</t>
  </si>
  <si>
    <t>P86-RS18</t>
  </si>
  <si>
    <t>P85-RS18</t>
  </si>
  <si>
    <t>P84-RS18</t>
  </si>
  <si>
    <t>P83-RS18</t>
  </si>
  <si>
    <t>P82-RS18</t>
  </si>
  <si>
    <t>P81-RS18</t>
  </si>
  <si>
    <t>P80-RS18</t>
  </si>
  <si>
    <t>P79-RS18</t>
  </si>
  <si>
    <t>P78-RS18</t>
  </si>
  <si>
    <t>P77-RS18</t>
  </si>
  <si>
    <t>P76-RS18</t>
  </si>
  <si>
    <t>P75-RS18</t>
  </si>
  <si>
    <t>P74-RS18</t>
  </si>
  <si>
    <t>P73-RS18</t>
  </si>
  <si>
    <t>P72-RS18</t>
  </si>
  <si>
    <t>P71-RS18</t>
  </si>
  <si>
    <t>P70-RS18</t>
  </si>
  <si>
    <t>P69-RS18</t>
  </si>
  <si>
    <t>P68-RS18</t>
  </si>
  <si>
    <t>P67-RS18</t>
  </si>
  <si>
    <t>P66-RS18</t>
  </si>
  <si>
    <t>P65-RS18</t>
  </si>
  <si>
    <t>P64-RS18</t>
  </si>
  <si>
    <t>P63-RS18</t>
  </si>
  <si>
    <t>P62-RS18</t>
  </si>
  <si>
    <t>P61-RS18</t>
  </si>
  <si>
    <t>P60-RS18</t>
  </si>
  <si>
    <t>P59-RS18</t>
  </si>
  <si>
    <t>P58-RS18</t>
  </si>
  <si>
    <t>P57-RS18</t>
  </si>
  <si>
    <t>P56-RS18</t>
  </si>
  <si>
    <t>P55-RS18</t>
  </si>
  <si>
    <t>P54-RS18</t>
  </si>
  <si>
    <t>P53-RS18</t>
  </si>
  <si>
    <t>P52-RS18</t>
  </si>
  <si>
    <t>P51-RS18</t>
  </si>
  <si>
    <t>P50-RS18</t>
  </si>
  <si>
    <t>P49-RS18</t>
  </si>
  <si>
    <t>P48-RS18</t>
  </si>
  <si>
    <t>P47-RS18</t>
  </si>
  <si>
    <t>P46-RS18</t>
  </si>
  <si>
    <t>P45-RS18</t>
  </si>
  <si>
    <t>P44-RS18</t>
  </si>
  <si>
    <t>P43-RS18</t>
  </si>
  <si>
    <t>P42-RS18</t>
  </si>
  <si>
    <t>P41-RS18</t>
  </si>
  <si>
    <t>P40-RS18</t>
  </si>
  <si>
    <t>P39-RS18</t>
  </si>
  <si>
    <t>P38-RS18</t>
  </si>
  <si>
    <t>P37-RS18</t>
  </si>
  <si>
    <t>P36-RS18</t>
  </si>
  <si>
    <t>P35-RS18</t>
  </si>
  <si>
    <t>P34-RS18</t>
  </si>
  <si>
    <t>P33-RS18</t>
  </si>
  <si>
    <t>P32-RS18</t>
  </si>
  <si>
    <t>P31-RS18</t>
  </si>
  <si>
    <t>P30-18</t>
  </si>
  <si>
    <t>P29-18</t>
  </si>
  <si>
    <t>P28-18</t>
  </si>
  <si>
    <t>P27-18</t>
  </si>
  <si>
    <t>P26-18</t>
  </si>
  <si>
    <t>P25-18</t>
  </si>
  <si>
    <t>P24-18</t>
  </si>
  <si>
    <t>P23-18</t>
  </si>
  <si>
    <t>P22-18</t>
  </si>
  <si>
    <t>P21-18</t>
  </si>
  <si>
    <t>P20-18</t>
  </si>
  <si>
    <t>P19-18</t>
  </si>
  <si>
    <t>P18-18</t>
  </si>
  <si>
    <t>P17-18</t>
  </si>
  <si>
    <t>P16-18</t>
  </si>
  <si>
    <t>P15-18</t>
  </si>
  <si>
    <t>P14-18</t>
  </si>
  <si>
    <t>P13-18</t>
  </si>
  <si>
    <t>P12-18</t>
  </si>
  <si>
    <t>P11-18</t>
  </si>
  <si>
    <t>P10-18</t>
  </si>
  <si>
    <t>P9-18</t>
  </si>
  <si>
    <t>P8-18</t>
  </si>
  <si>
    <t>P7-18</t>
  </si>
  <si>
    <t>P1-18</t>
  </si>
  <si>
    <t>P90-RS17</t>
  </si>
  <si>
    <t>P89-RS17</t>
  </si>
  <si>
    <t>P88-RS17</t>
  </si>
  <si>
    <t>P87-RS17</t>
  </si>
  <si>
    <t>P86-RS17</t>
  </si>
  <si>
    <t>P85-RS17</t>
  </si>
  <si>
    <t>P84-RS17</t>
  </si>
  <si>
    <t>P83-RS17</t>
  </si>
  <si>
    <t>P82-RS17</t>
  </si>
  <si>
    <t>P81-RS17</t>
  </si>
  <si>
    <t>P80-RS17</t>
  </si>
  <si>
    <t>P79-RS17</t>
  </si>
  <si>
    <t>P78-RS17</t>
  </si>
  <si>
    <t>P77-RS17</t>
  </si>
  <si>
    <t>P76-RS17</t>
  </si>
  <si>
    <t>P75-RS17</t>
  </si>
  <si>
    <t>P74-RS17</t>
  </si>
  <si>
    <t>P73-RS17</t>
  </si>
  <si>
    <t>P72-RS17</t>
  </si>
  <si>
    <t>P71-RS17</t>
  </si>
  <si>
    <t>P70-RS17</t>
  </si>
  <si>
    <t>P69-RS17</t>
  </si>
  <si>
    <t>P68-RS17</t>
  </si>
  <si>
    <t>P67-RS17</t>
  </si>
  <si>
    <t>P66-RS17</t>
  </si>
  <si>
    <t>P65-RS17</t>
  </si>
  <si>
    <t>P64-RS17</t>
  </si>
  <si>
    <t>P63-RS17</t>
  </si>
  <si>
    <t>P62-RS17</t>
  </si>
  <si>
    <t>P61-RS17</t>
  </si>
  <si>
    <t>P60-RS17</t>
  </si>
  <si>
    <t>P59-RS17</t>
  </si>
  <si>
    <t>P58-RS17</t>
  </si>
  <si>
    <t>P57-RS17</t>
  </si>
  <si>
    <t>P56-RS17</t>
  </si>
  <si>
    <t>P55-RS17</t>
  </si>
  <si>
    <t>P54-RS17</t>
  </si>
  <si>
    <t>P53-RS17</t>
  </si>
  <si>
    <t>P52-RS17</t>
  </si>
  <si>
    <t>P51-RS17</t>
  </si>
  <si>
    <t>P50-RS17</t>
  </si>
  <si>
    <t>P49-RS17</t>
  </si>
  <si>
    <t>P48-RS17</t>
  </si>
  <si>
    <t>P47-RS17</t>
  </si>
  <si>
    <t>P46-RS17</t>
  </si>
  <si>
    <t>P45-RS17</t>
  </si>
  <si>
    <t>P44-RS17</t>
  </si>
  <si>
    <t>P43-RS17</t>
  </si>
  <si>
    <t>P42-RS17</t>
  </si>
  <si>
    <t>P41-RS17</t>
  </si>
  <si>
    <t>P40-RS17</t>
  </si>
  <si>
    <t>P39-RS17</t>
  </si>
  <si>
    <t>P38-RS17</t>
  </si>
  <si>
    <t>P37-RS17</t>
  </si>
  <si>
    <t>P36-RS17</t>
  </si>
  <si>
    <t>P35-RS17</t>
  </si>
  <si>
    <t>P34-RS17</t>
  </si>
  <si>
    <t>P33-RS17</t>
  </si>
  <si>
    <t>P32-RS17</t>
  </si>
  <si>
    <t>P31-RS17</t>
  </si>
  <si>
    <t>P30-17</t>
  </si>
  <si>
    <t>P29-17</t>
  </si>
  <si>
    <t>P28-17</t>
  </si>
  <si>
    <t>P27-17</t>
  </si>
  <si>
    <t>P26-17</t>
  </si>
  <si>
    <t>P25-17</t>
  </si>
  <si>
    <t>P24-17</t>
  </si>
  <si>
    <t>P23-17</t>
  </si>
  <si>
    <t>P22-17</t>
  </si>
  <si>
    <t>P21-17</t>
  </si>
  <si>
    <t>P20-17</t>
  </si>
  <si>
    <t>P19-17</t>
  </si>
  <si>
    <t>P18-17</t>
  </si>
  <si>
    <t>P17-17</t>
  </si>
  <si>
    <t>P16-17</t>
  </si>
  <si>
    <t>P15-17</t>
  </si>
  <si>
    <t>P14-17</t>
  </si>
  <si>
    <t>P13-17</t>
  </si>
  <si>
    <t>P12-17</t>
  </si>
  <si>
    <t>P11-17</t>
  </si>
  <si>
    <t>P10-17</t>
  </si>
  <si>
    <t>P9-17</t>
  </si>
  <si>
    <t>P8-17</t>
  </si>
  <si>
    <t>P7-17</t>
  </si>
  <si>
    <t>P1-17</t>
  </si>
  <si>
    <t>P90-RS16</t>
  </si>
  <si>
    <t>P89-RS16</t>
  </si>
  <si>
    <t>P88-RS16</t>
  </si>
  <si>
    <t>P87-RS16</t>
  </si>
  <si>
    <t>P86-RS16</t>
  </si>
  <si>
    <t>P85-RS16</t>
  </si>
  <si>
    <t>P84-RS16</t>
  </si>
  <si>
    <t>P83-RS16</t>
  </si>
  <si>
    <t>P82-RS16</t>
  </si>
  <si>
    <t>P81-RS16</t>
  </si>
  <si>
    <t>P80-RS16</t>
  </si>
  <si>
    <t>P79-RS16</t>
  </si>
  <si>
    <t>P78-RS16</t>
  </si>
  <si>
    <t>P77-RS16</t>
  </si>
  <si>
    <t>P76-RS16</t>
  </si>
  <si>
    <t>P75-RS16</t>
  </si>
  <si>
    <t>P74-RS16</t>
  </si>
  <si>
    <t>P73-RS16</t>
  </si>
  <si>
    <t>P72-RS16</t>
  </si>
  <si>
    <t>P71-RS16</t>
  </si>
  <si>
    <t>P70-RS16</t>
  </si>
  <si>
    <t>P69-RS16</t>
  </si>
  <si>
    <t>P68-RS16</t>
  </si>
  <si>
    <t>P67-RS16</t>
  </si>
  <si>
    <t>P66-RS16</t>
  </si>
  <si>
    <t>P65-RS16</t>
  </si>
  <si>
    <t>P64-RS16</t>
  </si>
  <si>
    <t>P63-RS16</t>
  </si>
  <si>
    <t>P62-RS16</t>
  </si>
  <si>
    <t>P61-RS16</t>
  </si>
  <si>
    <t>P60-RS16</t>
  </si>
  <si>
    <t>P59-RS16</t>
  </si>
  <si>
    <t>P58-RS16</t>
  </si>
  <si>
    <t>P57-RS16</t>
  </si>
  <si>
    <t>P56-RS16</t>
  </si>
  <si>
    <t>P55-RS16</t>
  </si>
  <si>
    <t>P54-RS16</t>
  </si>
  <si>
    <t>P53-RS16</t>
  </si>
  <si>
    <t>P52-RS16</t>
  </si>
  <si>
    <t>P51-RS16</t>
  </si>
  <si>
    <t>P50-RS16</t>
  </si>
  <si>
    <t>P49-RS16</t>
  </si>
  <si>
    <t>P48-RS16</t>
  </si>
  <si>
    <t>P47-RS16</t>
  </si>
  <si>
    <t>P46-RS16</t>
  </si>
  <si>
    <t>P45-RS16</t>
  </si>
  <si>
    <t>P44-RS16</t>
  </si>
  <si>
    <t>P43-RS16</t>
  </si>
  <si>
    <t>P42-RS16</t>
  </si>
  <si>
    <t>P41-RS16</t>
  </si>
  <si>
    <t>P40-RS16</t>
  </si>
  <si>
    <t>P39-RS16</t>
  </si>
  <si>
    <t>P38-RS16</t>
  </si>
  <si>
    <t>P37-RS16</t>
  </si>
  <si>
    <t>P36-RS16</t>
  </si>
  <si>
    <t>P35-RS16</t>
  </si>
  <si>
    <t>P34-RS16</t>
  </si>
  <si>
    <t>P33-RS16</t>
  </si>
  <si>
    <t>P32-RS16</t>
  </si>
  <si>
    <t>P31-RS16</t>
  </si>
  <si>
    <t>P30-16</t>
  </si>
  <si>
    <t>P29-16</t>
  </si>
  <si>
    <t>P28-16</t>
  </si>
  <si>
    <t>P27-16</t>
  </si>
  <si>
    <t>P26-16</t>
  </si>
  <si>
    <t>P25-16</t>
  </si>
  <si>
    <t>P24-16</t>
  </si>
  <si>
    <t>P23-16</t>
  </si>
  <si>
    <t>P22-16</t>
  </si>
  <si>
    <t>P21-16</t>
  </si>
  <si>
    <t>P20-16</t>
  </si>
  <si>
    <t>P19-16</t>
  </si>
  <si>
    <t>P18-16</t>
  </si>
  <si>
    <t>P17-16</t>
  </si>
  <si>
    <t>P16-16</t>
  </si>
  <si>
    <t>P15-16</t>
  </si>
  <si>
    <t>P14-16</t>
  </si>
  <si>
    <t>P13-16</t>
  </si>
  <si>
    <t>P12-16</t>
  </si>
  <si>
    <t>P11-16</t>
  </si>
  <si>
    <t>P10-16</t>
  </si>
  <si>
    <t>P9-16</t>
  </si>
  <si>
    <t>P8-16</t>
  </si>
  <si>
    <t>P7-16</t>
  </si>
  <si>
    <t>P1-16</t>
  </si>
  <si>
    <t>P90-RS15</t>
  </si>
  <si>
    <t>P89-RS15</t>
  </si>
  <si>
    <t>P88-RS15</t>
  </si>
  <si>
    <t>P87-RS15</t>
  </si>
  <si>
    <t>P86-RS15</t>
  </si>
  <si>
    <t>P85-RS15</t>
  </si>
  <si>
    <t>P84-RS15</t>
  </si>
  <si>
    <t>P83-RS15</t>
  </si>
  <si>
    <t>P82-RS15</t>
  </si>
  <si>
    <t>P81-RS15</t>
  </si>
  <si>
    <t>P80-RS15</t>
  </si>
  <si>
    <t>P79-RS15</t>
  </si>
  <si>
    <t>P78-RS15</t>
  </si>
  <si>
    <t>P77-RS15</t>
  </si>
  <si>
    <t>P76-RS15</t>
  </si>
  <si>
    <t>P75-RS15</t>
  </si>
  <si>
    <t>P74-RS15</t>
  </si>
  <si>
    <t>P73-RS15</t>
  </si>
  <si>
    <t>P72-RS15</t>
  </si>
  <si>
    <t>P71-RS15</t>
  </si>
  <si>
    <t>P70-RS15</t>
  </si>
  <si>
    <t>P69-RS15</t>
  </si>
  <si>
    <t>P68-RS15</t>
  </si>
  <si>
    <t>P67-RS15</t>
  </si>
  <si>
    <t>P66-RS15</t>
  </si>
  <si>
    <t>P65-RS15</t>
  </si>
  <si>
    <t>P64-RS15</t>
  </si>
  <si>
    <t>P63-RS15</t>
  </si>
  <si>
    <t>P62-RS15</t>
  </si>
  <si>
    <t>P61-RS15</t>
  </si>
  <si>
    <t>P60-RS15</t>
  </si>
  <si>
    <t>P59-RS15</t>
  </si>
  <si>
    <t>P58-RS15</t>
  </si>
  <si>
    <t>P57-RS15</t>
  </si>
  <si>
    <t>P56-RS15</t>
  </si>
  <si>
    <t>P55-RS15</t>
  </si>
  <si>
    <t>P54-RS15</t>
  </si>
  <si>
    <t>P53-RS15</t>
  </si>
  <si>
    <t>P52-RS15</t>
  </si>
  <si>
    <t>P51-RS15</t>
  </si>
  <si>
    <t>P50-RS15</t>
  </si>
  <si>
    <t>P49-RS15</t>
  </si>
  <si>
    <t>P48-RS15</t>
  </si>
  <si>
    <t>P47-RS15</t>
  </si>
  <si>
    <t>P46-RS15</t>
  </si>
  <si>
    <t>P45-RS15</t>
  </si>
  <si>
    <t>P44-RS15</t>
  </si>
  <si>
    <t>P43-RS15</t>
  </si>
  <si>
    <t>P42-RS15</t>
  </si>
  <si>
    <t>P41-RS15</t>
  </si>
  <si>
    <t>P40-RS15</t>
  </si>
  <si>
    <t>P39-RS15</t>
  </si>
  <si>
    <t>P38-RS15</t>
  </si>
  <si>
    <t>P37-RS15</t>
  </si>
  <si>
    <t>P36-RS15</t>
  </si>
  <si>
    <t>P35-RS15</t>
  </si>
  <si>
    <t>P34-RS15</t>
  </si>
  <si>
    <t>P33-RS15</t>
  </si>
  <si>
    <t>P32-RS15</t>
  </si>
  <si>
    <t>P31-RS15</t>
  </si>
  <si>
    <t>P30-15</t>
  </si>
  <si>
    <t>P29-15</t>
  </si>
  <si>
    <t>P28-15</t>
  </si>
  <si>
    <t>P27-15</t>
  </si>
  <si>
    <t>P26-15</t>
  </si>
  <si>
    <t>P25-15</t>
  </si>
  <si>
    <t>P24-15</t>
  </si>
  <si>
    <t>P23-15</t>
  </si>
  <si>
    <t>P22-15</t>
  </si>
  <si>
    <t>P21-15</t>
  </si>
  <si>
    <t>P20-15</t>
  </si>
  <si>
    <t>P19-15</t>
  </si>
  <si>
    <t>P18-15</t>
  </si>
  <si>
    <t>P17-15</t>
  </si>
  <si>
    <t>P16-15</t>
  </si>
  <si>
    <t>P15-15</t>
  </si>
  <si>
    <t>P14-15</t>
  </si>
  <si>
    <t>P13-15</t>
  </si>
  <si>
    <t>P12-15</t>
  </si>
  <si>
    <t>P11-15</t>
  </si>
  <si>
    <t>P10-15</t>
  </si>
  <si>
    <t>P9-15</t>
  </si>
  <si>
    <t>P8-15</t>
  </si>
  <si>
    <t>P7-15</t>
  </si>
  <si>
    <t>P1-15</t>
  </si>
  <si>
    <t>P90-RS14</t>
  </si>
  <si>
    <t>P89-RS14</t>
  </si>
  <si>
    <t>P88-RS14</t>
  </si>
  <si>
    <t>P87-RS14</t>
  </si>
  <si>
    <t>P86-RS14</t>
  </si>
  <si>
    <t>P85-RS14</t>
  </si>
  <si>
    <t>P84-RS14</t>
  </si>
  <si>
    <t>P83-RS14</t>
  </si>
  <si>
    <t>P82-RS14</t>
  </si>
  <si>
    <t>P81-RS14</t>
  </si>
  <si>
    <t>P80-RS14</t>
  </si>
  <si>
    <t>P79-RS14</t>
  </si>
  <si>
    <t>P78-RS14</t>
  </si>
  <si>
    <t>P77-RS14</t>
  </si>
  <si>
    <t>P76-RS14</t>
  </si>
  <si>
    <t>P75-RS14</t>
  </si>
  <si>
    <t>P74-RS14</t>
  </si>
  <si>
    <t>P73-RS14</t>
  </si>
  <si>
    <t>P72-RS14</t>
  </si>
  <si>
    <t>P71-RS14</t>
  </si>
  <si>
    <t>P70-RS14</t>
  </si>
  <si>
    <t>P69-RS14</t>
  </si>
  <si>
    <t>P68-RS14</t>
  </si>
  <si>
    <t>P67-RS14</t>
  </si>
  <si>
    <t>P66-RS14</t>
  </si>
  <si>
    <t>P65-RS14</t>
  </si>
  <si>
    <t>P64-RS14</t>
  </si>
  <si>
    <t>P63-RS14</t>
  </si>
  <si>
    <t>P62-RS14</t>
  </si>
  <si>
    <t>P61-RS14</t>
  </si>
  <si>
    <t>P60-RS14</t>
  </si>
  <si>
    <t>P59-RS14</t>
  </si>
  <si>
    <t>P58-RS14</t>
  </si>
  <si>
    <t>P57-RS14</t>
  </si>
  <si>
    <t>P56-RS14</t>
  </si>
  <si>
    <t>P55-RS14</t>
  </si>
  <si>
    <t>P54-RS14</t>
  </si>
  <si>
    <t>P53-RS14</t>
  </si>
  <si>
    <t>P52-RS14</t>
  </si>
  <si>
    <t>P51-RS14</t>
  </si>
  <si>
    <t>P50-RS14</t>
  </si>
  <si>
    <t>P49-RS14</t>
  </si>
  <si>
    <t>P48-RS14</t>
  </si>
  <si>
    <t>P47-RS14</t>
  </si>
  <si>
    <t>P46-RS14</t>
  </si>
  <si>
    <t>P45-RS14</t>
  </si>
  <si>
    <t>P44-RS14</t>
  </si>
  <si>
    <t>P43-RS14</t>
  </si>
  <si>
    <t>P42-RS14</t>
  </si>
  <si>
    <t>P41-RS14</t>
  </si>
  <si>
    <t>P40-RS14</t>
  </si>
  <si>
    <t>P39-RS14</t>
  </si>
  <si>
    <t>P38-RS14</t>
  </si>
  <si>
    <t>P37-RS14</t>
  </si>
  <si>
    <t>P36-RS14</t>
  </si>
  <si>
    <t>P35-RS14</t>
  </si>
  <si>
    <t>P34-RS14</t>
  </si>
  <si>
    <t>P33-RS14</t>
  </si>
  <si>
    <t>P32-RS14</t>
  </si>
  <si>
    <t>P31-RS14</t>
  </si>
  <si>
    <t>P30-14</t>
  </si>
  <si>
    <t>P29-14</t>
  </si>
  <si>
    <t>P28-14</t>
  </si>
  <si>
    <t>P27-14</t>
  </si>
  <si>
    <t>P26-14</t>
  </si>
  <si>
    <t>P25-14</t>
  </si>
  <si>
    <t>P24-14</t>
  </si>
  <si>
    <t>P23-14</t>
  </si>
  <si>
    <t>P22-14</t>
  </si>
  <si>
    <t>P21-14</t>
  </si>
  <si>
    <t>P20-14</t>
  </si>
  <si>
    <t>P19-14</t>
  </si>
  <si>
    <t>P18-14</t>
  </si>
  <si>
    <t>P17-14</t>
  </si>
  <si>
    <t>P16-14</t>
  </si>
  <si>
    <t>P15-14</t>
  </si>
  <si>
    <t>P14-14</t>
  </si>
  <si>
    <t>P13-14</t>
  </si>
  <si>
    <t>P12-14</t>
  </si>
  <si>
    <t>P11-14</t>
  </si>
  <si>
    <t>P10-14</t>
  </si>
  <si>
    <t>P9-14</t>
  </si>
  <si>
    <t>P8-14</t>
  </si>
  <si>
    <t>P7-14</t>
  </si>
  <si>
    <t>P1-14</t>
  </si>
  <si>
    <t>P90-RS13</t>
  </si>
  <si>
    <t>P89-RS13</t>
  </si>
  <si>
    <t>P88-RS13</t>
  </si>
  <si>
    <t>P87-RS13</t>
  </si>
  <si>
    <t>P86-RS13</t>
  </si>
  <si>
    <t>P85-RS13</t>
  </si>
  <si>
    <t>P84-RS13</t>
  </si>
  <si>
    <t>P83-RS13</t>
  </si>
  <si>
    <t>P82-RS13</t>
  </si>
  <si>
    <t>P81-RS13</t>
  </si>
  <si>
    <t>P80-RS13</t>
  </si>
  <si>
    <t>P79-RS13</t>
  </si>
  <si>
    <t>P78-RS13</t>
  </si>
  <si>
    <t>P77-RS13</t>
  </si>
  <si>
    <t>P76-RS13</t>
  </si>
  <si>
    <t>P75-RS13</t>
  </si>
  <si>
    <t>P74-RS13</t>
  </si>
  <si>
    <t>P73-RS13</t>
  </si>
  <si>
    <t>P72-RS13</t>
  </si>
  <si>
    <t>P71-RS13</t>
  </si>
  <si>
    <t>P70-RS13</t>
  </si>
  <si>
    <t>P69-RS13</t>
  </si>
  <si>
    <t>P68-RS13</t>
  </si>
  <si>
    <t>P67-RS13</t>
  </si>
  <si>
    <t>P66-RS13</t>
  </si>
  <si>
    <t>P65-RS13</t>
  </si>
  <si>
    <t>P64-RS13</t>
  </si>
  <si>
    <t>P63-RS13</t>
  </si>
  <si>
    <t>P62-RS13</t>
  </si>
  <si>
    <t>P61-RS13</t>
  </si>
  <si>
    <t>P60-RS13</t>
  </si>
  <si>
    <t>P59-RS13</t>
  </si>
  <si>
    <t>P58-RS13</t>
  </si>
  <si>
    <t>P57-RS13</t>
  </si>
  <si>
    <t>P56-RS13</t>
  </si>
  <si>
    <t>P55-RS13</t>
  </si>
  <si>
    <t>P54-RS13</t>
  </si>
  <si>
    <t>P53-RS13</t>
  </si>
  <si>
    <t>P52-RS13</t>
  </si>
  <si>
    <t>P51-RS13</t>
  </si>
  <si>
    <t>P50-RS13</t>
  </si>
  <si>
    <t>P49-RS13</t>
  </si>
  <si>
    <t>P48-RS13</t>
  </si>
  <si>
    <t>P47-RS13</t>
  </si>
  <si>
    <t>P46-RS13</t>
  </si>
  <si>
    <t>P45-RS13</t>
  </si>
  <si>
    <t>P44-RS13</t>
  </si>
  <si>
    <t>P43-RS13</t>
  </si>
  <si>
    <t>P42-RS13</t>
  </si>
  <si>
    <t>P41-RS13</t>
  </si>
  <si>
    <t>P40-RS13</t>
  </si>
  <si>
    <t>P39-RS13</t>
  </si>
  <si>
    <t>P38-RS13</t>
  </si>
  <si>
    <t>P37-RS13</t>
  </si>
  <si>
    <t>P36-RS13</t>
  </si>
  <si>
    <t>P35-RS13</t>
  </si>
  <si>
    <t>P34-RS13</t>
  </si>
  <si>
    <t>P33-RS13</t>
  </si>
  <si>
    <t>P32-RS13</t>
  </si>
  <si>
    <t>P31-RS13</t>
  </si>
  <si>
    <t>P30-13</t>
  </si>
  <si>
    <t>P29-13</t>
  </si>
  <si>
    <t>P28-13</t>
  </si>
  <si>
    <t>P27-13</t>
  </si>
  <si>
    <t>P26-13</t>
  </si>
  <si>
    <t>P25-13</t>
  </si>
  <si>
    <t>P24-13</t>
  </si>
  <si>
    <t>P23-13</t>
  </si>
  <si>
    <t>P22-13</t>
  </si>
  <si>
    <t>P21-13</t>
  </si>
  <si>
    <t>P20-13</t>
  </si>
  <si>
    <t>P19-13</t>
  </si>
  <si>
    <t>P18-13</t>
  </si>
  <si>
    <t>P17-13</t>
  </si>
  <si>
    <t>P16-13</t>
  </si>
  <si>
    <t>P15-13</t>
  </si>
  <si>
    <t>P14-13</t>
  </si>
  <si>
    <t>P13-13</t>
  </si>
  <si>
    <t>P12-13</t>
  </si>
  <si>
    <t>P11-13</t>
  </si>
  <si>
    <t>P10-13</t>
  </si>
  <si>
    <t>P9-13</t>
  </si>
  <si>
    <t>P8-13</t>
  </si>
  <si>
    <t>P7-13</t>
  </si>
  <si>
    <t>P1-13</t>
  </si>
  <si>
    <t>P90-RS12</t>
  </si>
  <si>
    <t>P89-RS12</t>
  </si>
  <si>
    <t>P88-RS12</t>
  </si>
  <si>
    <t>P87-RS12</t>
  </si>
  <si>
    <t>P86-RS12</t>
  </si>
  <si>
    <t>P85-RS12</t>
  </si>
  <si>
    <t>P84-RS12</t>
  </si>
  <si>
    <t>P83-RS12</t>
  </si>
  <si>
    <t>P82-RS12</t>
  </si>
  <si>
    <t>P81-RS12</t>
  </si>
  <si>
    <t>P80-RS12</t>
  </si>
  <si>
    <t>P79-RS12</t>
  </si>
  <si>
    <t>P78-RS12</t>
  </si>
  <si>
    <t>P77-RS12</t>
  </si>
  <si>
    <t>P76-RS12</t>
  </si>
  <si>
    <t>P75-RS12</t>
  </si>
  <si>
    <t>P74-RS12</t>
  </si>
  <si>
    <t>P73-RS12</t>
  </si>
  <si>
    <t>P72-RS12</t>
  </si>
  <si>
    <t>P71-RS12</t>
  </si>
  <si>
    <t>P70-RS12</t>
  </si>
  <si>
    <t>P69-RS12</t>
  </si>
  <si>
    <t>P68-RS12</t>
  </si>
  <si>
    <t>P67-RS12</t>
  </si>
  <si>
    <t>P66-RS12</t>
  </si>
  <si>
    <t>P65-RS12</t>
  </si>
  <si>
    <t>P64-RS12</t>
  </si>
  <si>
    <t>P63-RS12</t>
  </si>
  <si>
    <t>P62-RS12</t>
  </si>
  <si>
    <t>P61-RS12</t>
  </si>
  <si>
    <t>P60-RS12</t>
  </si>
  <si>
    <t>P59-RS12</t>
  </si>
  <si>
    <t>P58-RS12</t>
  </si>
  <si>
    <t>P57-RS12</t>
  </si>
  <si>
    <t>P56-RS12</t>
  </si>
  <si>
    <t>P55-RS12</t>
  </si>
  <si>
    <t>P54-RS12</t>
  </si>
  <si>
    <t>P53-RS12</t>
  </si>
  <si>
    <t>P52-RS12</t>
  </si>
  <si>
    <t>P51-RS12</t>
  </si>
  <si>
    <t>P50-RS12</t>
  </si>
  <si>
    <t>P49-RS12</t>
  </si>
  <si>
    <t>P48-RS12</t>
  </si>
  <si>
    <t>P47-RS12</t>
  </si>
  <si>
    <t>P46-RS12</t>
  </si>
  <si>
    <t>P45-RS12</t>
  </si>
  <si>
    <t>P44-RS12</t>
  </si>
  <si>
    <t>P43-RS12</t>
  </si>
  <si>
    <t>P42-RS12</t>
  </si>
  <si>
    <t>P41-RS12</t>
  </si>
  <si>
    <t>P40-RS12</t>
  </si>
  <si>
    <t>P39-RS12</t>
  </si>
  <si>
    <t>P38-RS12</t>
  </si>
  <si>
    <t>P37-RS12</t>
  </si>
  <si>
    <t>P36-RS12</t>
  </si>
  <si>
    <t>P35-RS12</t>
  </si>
  <si>
    <t>P34-RS12</t>
  </si>
  <si>
    <t>P33-RS12</t>
  </si>
  <si>
    <t>P32-RS12</t>
  </si>
  <si>
    <t>P31-RS12</t>
  </si>
  <si>
    <t>P30-12</t>
  </si>
  <si>
    <t>P29-12</t>
  </si>
  <si>
    <t>P28-12</t>
  </si>
  <si>
    <t>P27-12</t>
  </si>
  <si>
    <t>P26-12</t>
  </si>
  <si>
    <t>P25-12</t>
  </si>
  <si>
    <t>P24-12</t>
  </si>
  <si>
    <t>P23-12</t>
  </si>
  <si>
    <t>P22-12</t>
  </si>
  <si>
    <t>P21-12</t>
  </si>
  <si>
    <t>P20-12</t>
  </si>
  <si>
    <t>P19-12</t>
  </si>
  <si>
    <t>P18-12</t>
  </si>
  <si>
    <t>P17-12</t>
  </si>
  <si>
    <t>P16-12</t>
  </si>
  <si>
    <t>P15-12</t>
  </si>
  <si>
    <t>P14-12</t>
  </si>
  <si>
    <t>P13-12</t>
  </si>
  <si>
    <t>P12-12</t>
  </si>
  <si>
    <t>P11-12</t>
  </si>
  <si>
    <t>P10-12</t>
  </si>
  <si>
    <t>P9-12</t>
  </si>
  <si>
    <t>P8-12</t>
  </si>
  <si>
    <t>P7-12</t>
  </si>
  <si>
    <t>P1-12</t>
  </si>
  <si>
    <t>P90-RS11</t>
  </si>
  <si>
    <t>P89-RS11</t>
  </si>
  <si>
    <t>P88-RS11</t>
  </si>
  <si>
    <t>P87-RS11</t>
  </si>
  <si>
    <t>P86-RS11</t>
  </si>
  <si>
    <t>P85-RS11</t>
  </si>
  <si>
    <t>P84-RS11</t>
  </si>
  <si>
    <t>P83-RS11</t>
  </si>
  <si>
    <t>P82-RS11</t>
  </si>
  <si>
    <t>P81-RS11</t>
  </si>
  <si>
    <t>P80-RS11</t>
  </si>
  <si>
    <t>P79-RS11</t>
  </si>
  <si>
    <t>P78-RS11</t>
  </si>
  <si>
    <t>P77-RS11</t>
  </si>
  <si>
    <t>P76-RS11</t>
  </si>
  <si>
    <t>P75-RS11</t>
  </si>
  <si>
    <t>P74-RS11</t>
  </si>
  <si>
    <t>P73-RS11</t>
  </si>
  <si>
    <t>P72-RS11</t>
  </si>
  <si>
    <t>P71-RS11</t>
  </si>
  <si>
    <t>P70-RS11</t>
  </si>
  <si>
    <t>P69-RS11</t>
  </si>
  <si>
    <t>P68-RS11</t>
  </si>
  <si>
    <t>P67-RS11</t>
  </si>
  <si>
    <t>P66-RS11</t>
  </si>
  <si>
    <t>P65-RS11</t>
  </si>
  <si>
    <t>P64-RS11</t>
  </si>
  <si>
    <t>P63-RS11</t>
  </si>
  <si>
    <t>P62-RS11</t>
  </si>
  <si>
    <t>P61-RS11</t>
  </si>
  <si>
    <t>P60-RS11</t>
  </si>
  <si>
    <t>P59-RS11</t>
  </si>
  <si>
    <t>P58-RS11</t>
  </si>
  <si>
    <t>P57-RS11</t>
  </si>
  <si>
    <t>P56-RS11</t>
  </si>
  <si>
    <t>P55-RS11</t>
  </si>
  <si>
    <t>P54-RS11</t>
  </si>
  <si>
    <t>P53-RS11</t>
  </si>
  <si>
    <t>P52-RS11</t>
  </si>
  <si>
    <t>P51-RS11</t>
  </si>
  <si>
    <t>P50-RS11</t>
  </si>
  <si>
    <t>P49-RS11</t>
  </si>
  <si>
    <t>P48-RS11</t>
  </si>
  <si>
    <t>P47-RS11</t>
  </si>
  <si>
    <t>P46-RS11</t>
  </si>
  <si>
    <t>P45-RS11</t>
  </si>
  <si>
    <t>P44-RS11</t>
  </si>
  <si>
    <t>P43-RS11</t>
  </si>
  <si>
    <t>P42-RS11</t>
  </si>
  <si>
    <t>P41-RS11</t>
  </si>
  <si>
    <t>P40-RS11</t>
  </si>
  <si>
    <t>P39-RS11</t>
  </si>
  <si>
    <t>P38-RS11</t>
  </si>
  <si>
    <t>P37-RS11</t>
  </si>
  <si>
    <t>P36-RS11</t>
  </si>
  <si>
    <t>P35-RS11</t>
  </si>
  <si>
    <t>P34-RS11</t>
  </si>
  <si>
    <t>P33-RS11</t>
  </si>
  <si>
    <t>P32-RS11</t>
  </si>
  <si>
    <t>P31-RS11</t>
  </si>
  <si>
    <t>P30-11</t>
  </si>
  <si>
    <t>P29-11</t>
  </si>
  <si>
    <t>P28-11</t>
  </si>
  <si>
    <t>P27-11</t>
  </si>
  <si>
    <t>P26-11</t>
  </si>
  <si>
    <t>P25-11</t>
  </si>
  <si>
    <t>P24-11</t>
  </si>
  <si>
    <t>P23-11</t>
  </si>
  <si>
    <t>P22-11</t>
  </si>
  <si>
    <t>P21-11</t>
  </si>
  <si>
    <t>P20-11</t>
  </si>
  <si>
    <t>P19-11</t>
  </si>
  <si>
    <t>P18-11</t>
  </si>
  <si>
    <t>P17-11</t>
  </si>
  <si>
    <t>P16-11</t>
  </si>
  <si>
    <t>P15-11</t>
  </si>
  <si>
    <t>P14-11</t>
  </si>
  <si>
    <t>P13-11</t>
  </si>
  <si>
    <t>P12-11</t>
  </si>
  <si>
    <t>P11-11</t>
  </si>
  <si>
    <t>P10-11</t>
  </si>
  <si>
    <t>P9-11</t>
  </si>
  <si>
    <t>P8-11</t>
  </si>
  <si>
    <t>P7-11</t>
  </si>
  <si>
    <t>P1-11</t>
  </si>
  <si>
    <t>P90-RS10</t>
  </si>
  <si>
    <t>P89-RS10</t>
  </si>
  <si>
    <t>P88-RS10</t>
  </si>
  <si>
    <t>P87-RS10</t>
  </si>
  <si>
    <t>P86-RS10</t>
  </si>
  <si>
    <t>P85-RS10</t>
  </si>
  <si>
    <t>P84-RS10</t>
  </si>
  <si>
    <t>P83-RS10</t>
  </si>
  <si>
    <t>P82-RS10</t>
  </si>
  <si>
    <t>P81-RS10</t>
  </si>
  <si>
    <t>P80-RS10</t>
  </si>
  <si>
    <t>P79-RS10</t>
  </si>
  <si>
    <t>P78-RS10</t>
  </si>
  <si>
    <t>P77-RS10</t>
  </si>
  <si>
    <t>P76-RS10</t>
  </si>
  <si>
    <t>P75-RS10</t>
  </si>
  <si>
    <t>P74-RS10</t>
  </si>
  <si>
    <t>P73-RS10</t>
  </si>
  <si>
    <t>P72-RS10</t>
  </si>
  <si>
    <t>P71-RS10</t>
  </si>
  <si>
    <t>P70-RS10</t>
  </si>
  <si>
    <t>P69-RS10</t>
  </si>
  <si>
    <t>P68-RS10</t>
  </si>
  <si>
    <t>P67-RS10</t>
  </si>
  <si>
    <t>P66-RS10</t>
  </si>
  <si>
    <t>P65-RS10</t>
  </si>
  <si>
    <t>P64-RS10</t>
  </si>
  <si>
    <t>P63-RS10</t>
  </si>
  <si>
    <t>P62-RS10</t>
  </si>
  <si>
    <t>P61-RS10</t>
  </si>
  <si>
    <t>P60-RS10</t>
  </si>
  <si>
    <t>P59-RS10</t>
  </si>
  <si>
    <t>P58-RS10</t>
  </si>
  <si>
    <t>P57-RS10</t>
  </si>
  <si>
    <t>P56-RS10</t>
  </si>
  <si>
    <t>P55-RS10</t>
  </si>
  <si>
    <t>P54-RS10</t>
  </si>
  <si>
    <t>P53-RS10</t>
  </si>
  <si>
    <t>P52-RS10</t>
  </si>
  <si>
    <t>P51-RS10</t>
  </si>
  <si>
    <t>P50-RS10</t>
  </si>
  <si>
    <t>P49-RS10</t>
  </si>
  <si>
    <t>P48-RS10</t>
  </si>
  <si>
    <t>P47-RS10</t>
  </si>
  <si>
    <t>P46-RS10</t>
  </si>
  <si>
    <t>P45-RS10</t>
  </si>
  <si>
    <t>P44-RS10</t>
  </si>
  <si>
    <t>P43-RS10</t>
  </si>
  <si>
    <t>P42-RS10</t>
  </si>
  <si>
    <t>P41-RS10</t>
  </si>
  <si>
    <t>P40-RS10</t>
  </si>
  <si>
    <t>P39-RS10</t>
  </si>
  <si>
    <t>P38-RS10</t>
  </si>
  <si>
    <t>P37-RS10</t>
  </si>
  <si>
    <t>P36-RS10</t>
  </si>
  <si>
    <t>P35-RS10</t>
  </si>
  <si>
    <t>P34-RS10</t>
  </si>
  <si>
    <t>P33-RS10</t>
  </si>
  <si>
    <t>P32-RS10</t>
  </si>
  <si>
    <t>P31-RS10</t>
  </si>
  <si>
    <t>P30-10</t>
  </si>
  <si>
    <t>P29-10</t>
  </si>
  <si>
    <t>P28-10</t>
  </si>
  <si>
    <t>P27-10</t>
  </si>
  <si>
    <t>P26-10</t>
  </si>
  <si>
    <t>P25-10</t>
  </si>
  <si>
    <t>P24-10</t>
  </si>
  <si>
    <t>P23-10</t>
  </si>
  <si>
    <t>P22-10</t>
  </si>
  <si>
    <t>P21-10</t>
  </si>
  <si>
    <t>P20-10</t>
  </si>
  <si>
    <t>P19-10</t>
  </si>
  <si>
    <t>P18-10</t>
  </si>
  <si>
    <t>P17-10</t>
  </si>
  <si>
    <t>P16-10</t>
  </si>
  <si>
    <t>P15-10</t>
  </si>
  <si>
    <t>P14-10</t>
  </si>
  <si>
    <t>P13-10</t>
  </si>
  <si>
    <t>P12-10</t>
  </si>
  <si>
    <t>P11-10</t>
  </si>
  <si>
    <t>P10-10</t>
  </si>
  <si>
    <t>P9-10</t>
  </si>
  <si>
    <t>P8-10</t>
  </si>
  <si>
    <t>P7-10</t>
  </si>
  <si>
    <t>P1-10</t>
  </si>
  <si>
    <t>P90-RS9</t>
  </si>
  <si>
    <t>P89-RS9</t>
  </si>
  <si>
    <t>P88-RS9</t>
  </si>
  <si>
    <t>P87-RS9</t>
  </si>
  <si>
    <t>P86-RS9</t>
  </si>
  <si>
    <t>P85-RS9</t>
  </si>
  <si>
    <t>P84-RS9</t>
  </si>
  <si>
    <t>P83-RS9</t>
  </si>
  <si>
    <t>P82-RS9</t>
  </si>
  <si>
    <t>P81-RS9</t>
  </si>
  <si>
    <t>P80-RS9</t>
  </si>
  <si>
    <t>P79-RS9</t>
  </si>
  <si>
    <t>P78-RS9</t>
  </si>
  <si>
    <t>P77-RS9</t>
  </si>
  <si>
    <t>P76-RS9</t>
  </si>
  <si>
    <t>P75-RS9</t>
  </si>
  <si>
    <t>P74-RS9</t>
  </si>
  <si>
    <t>P73-RS9</t>
  </si>
  <si>
    <t>P72-RS9</t>
  </si>
  <si>
    <t>P71-RS9</t>
  </si>
  <si>
    <t>P70-RS9</t>
  </si>
  <si>
    <t>P69-RS9</t>
  </si>
  <si>
    <t>P68-RS9</t>
  </si>
  <si>
    <t>P67-RS9</t>
  </si>
  <si>
    <t>P66-RS9</t>
  </si>
  <si>
    <t>P65-RS9</t>
  </si>
  <si>
    <t>P64-RS9</t>
  </si>
  <si>
    <t>P63-RS9</t>
  </si>
  <si>
    <t>P62-RS9</t>
  </si>
  <si>
    <t>P61-RS9</t>
  </si>
  <si>
    <t>P60-RS9</t>
  </si>
  <si>
    <t>P59-RS9</t>
  </si>
  <si>
    <t>P58-RS9</t>
  </si>
  <si>
    <t>P57-RS9</t>
  </si>
  <si>
    <t>P56-RS9</t>
  </si>
  <si>
    <t>P55-RS9</t>
  </si>
  <si>
    <t>P54-RS9</t>
  </si>
  <si>
    <t>P53-RS9</t>
  </si>
  <si>
    <t>P52-RS9</t>
  </si>
  <si>
    <t>P51-RS9</t>
  </si>
  <si>
    <t>P50-RS9</t>
  </si>
  <si>
    <t>P49-RS9</t>
  </si>
  <si>
    <t>P48-RS9</t>
  </si>
  <si>
    <t>P47-RS9</t>
  </si>
  <si>
    <t>P46-RS9</t>
  </si>
  <si>
    <t>P45-RS9</t>
  </si>
  <si>
    <t>P44-RS9</t>
  </si>
  <si>
    <t>P43-RS9</t>
  </si>
  <si>
    <t>P42-RS9</t>
  </si>
  <si>
    <t>P41-RS9</t>
  </si>
  <si>
    <t>P40-RS9</t>
  </si>
  <si>
    <t>P39-RS9</t>
  </si>
  <si>
    <t>P38-RS9</t>
  </si>
  <si>
    <t>P37-RS9</t>
  </si>
  <si>
    <t>P36-RS9</t>
  </si>
  <si>
    <t>P35-RS9</t>
  </si>
  <si>
    <t>P34-RS9</t>
  </si>
  <si>
    <t>P33-RS9</t>
  </si>
  <si>
    <t>P32-RS9</t>
  </si>
  <si>
    <t>P31-RS9</t>
  </si>
  <si>
    <t>P30-9</t>
  </si>
  <si>
    <t>P29-9</t>
  </si>
  <si>
    <t>P28-9</t>
  </si>
  <si>
    <t>P27-9</t>
  </si>
  <si>
    <t>P26-9</t>
  </si>
  <si>
    <t>P25-9</t>
  </si>
  <si>
    <t>P24-9</t>
  </si>
  <si>
    <t>P23-9</t>
  </si>
  <si>
    <t>P22-9</t>
  </si>
  <si>
    <t>P21-9</t>
  </si>
  <si>
    <t>P20-9</t>
  </si>
  <si>
    <t>P19-9</t>
  </si>
  <si>
    <t>P18-9</t>
  </si>
  <si>
    <t>P17-9</t>
  </si>
  <si>
    <t>P16-9</t>
  </si>
  <si>
    <t>P15-9</t>
  </si>
  <si>
    <t>P14-9</t>
  </si>
  <si>
    <t>P13-9</t>
  </si>
  <si>
    <t>P12-9</t>
  </si>
  <si>
    <t>P11-9</t>
  </si>
  <si>
    <t>P10-9</t>
  </si>
  <si>
    <t>P9-9</t>
  </si>
  <si>
    <t>P8-9</t>
  </si>
  <si>
    <t>P7-9</t>
  </si>
  <si>
    <t>P1-9</t>
  </si>
  <si>
    <t>P90-RS8</t>
  </si>
  <si>
    <t>P89-RS8</t>
  </si>
  <si>
    <t>P88-RS8</t>
  </si>
  <si>
    <t>P87-RS8</t>
  </si>
  <si>
    <t>P86-RS8</t>
  </si>
  <si>
    <t>P85-RS8</t>
  </si>
  <si>
    <t>P84-RS8</t>
  </si>
  <si>
    <t>P83-RS8</t>
  </si>
  <si>
    <t>P82-RS8</t>
  </si>
  <si>
    <t>P81-RS8</t>
  </si>
  <si>
    <t>P80-RS8</t>
  </si>
  <si>
    <t>P79-RS8</t>
  </si>
  <si>
    <t>P78-RS8</t>
  </si>
  <si>
    <t>P77-RS8</t>
  </si>
  <si>
    <t>P76-RS8</t>
  </si>
  <si>
    <t>P75-RS8</t>
  </si>
  <si>
    <t>P74-RS8</t>
  </si>
  <si>
    <t>P73-RS8</t>
  </si>
  <si>
    <t>P72-RS8</t>
  </si>
  <si>
    <t>P71-RS8</t>
  </si>
  <si>
    <t>P70-RS8</t>
  </si>
  <si>
    <t>P69-RS8</t>
  </si>
  <si>
    <t>P68-RS8</t>
  </si>
  <si>
    <t>P67-RS8</t>
  </si>
  <si>
    <t>P66-RS8</t>
  </si>
  <si>
    <t>P65-RS8</t>
  </si>
  <si>
    <t>P64-RS8</t>
  </si>
  <si>
    <t>P63-RS8</t>
  </si>
  <si>
    <t>P62-RS8</t>
  </si>
  <si>
    <t>P61-RS8</t>
  </si>
  <si>
    <t>P60-RS8</t>
  </si>
  <si>
    <t>P59-RS8</t>
  </si>
  <si>
    <t>P58-RS8</t>
  </si>
  <si>
    <t>P57-RS8</t>
  </si>
  <si>
    <t>P56-RS8</t>
  </si>
  <si>
    <t>P55-RS8</t>
  </si>
  <si>
    <t>P54-RS8</t>
  </si>
  <si>
    <t>P53-RS8</t>
  </si>
  <si>
    <t>P52-RS8</t>
  </si>
  <si>
    <t>P51-RS8</t>
  </si>
  <si>
    <t>P50-RS8</t>
  </si>
  <si>
    <t>P49-RS8</t>
  </si>
  <si>
    <t>P48-RS8</t>
  </si>
  <si>
    <t>P47-RS8</t>
  </si>
  <si>
    <t>P46-RS8</t>
  </si>
  <si>
    <t>P45-RS8</t>
  </si>
  <si>
    <t>P44-RS8</t>
  </si>
  <si>
    <t>P43-RS8</t>
  </si>
  <si>
    <t>P42-RS8</t>
  </si>
  <si>
    <t>P41-RS8</t>
  </si>
  <si>
    <t>P40-RS8</t>
  </si>
  <si>
    <t>P39-RS8</t>
  </si>
  <si>
    <t>P38-RS8</t>
  </si>
  <si>
    <t>P37-RS8</t>
  </si>
  <si>
    <t>P36-RS8</t>
  </si>
  <si>
    <t>P35-RS8</t>
  </si>
  <si>
    <t>P34-RS8</t>
  </si>
  <si>
    <t>P33-RS8</t>
  </si>
  <si>
    <t>P32-RS8</t>
  </si>
  <si>
    <t>P31-RS8</t>
  </si>
  <si>
    <t>P30-8</t>
  </si>
  <si>
    <t>P29-8</t>
  </si>
  <si>
    <t>P28-8</t>
  </si>
  <si>
    <t>P27-8</t>
  </si>
  <si>
    <t>P26-8</t>
  </si>
  <si>
    <t>P25-8</t>
  </si>
  <si>
    <t>P24-8</t>
  </si>
  <si>
    <t>P23-8</t>
  </si>
  <si>
    <t>P22-8</t>
  </si>
  <si>
    <t>P21-8</t>
  </si>
  <si>
    <t>P20-8</t>
  </si>
  <si>
    <t>P19-8</t>
  </si>
  <si>
    <t>P18-8</t>
  </si>
  <si>
    <t>P17-8</t>
  </si>
  <si>
    <t>P16-8</t>
  </si>
  <si>
    <t>P15-8</t>
  </si>
  <si>
    <t>P14-8</t>
  </si>
  <si>
    <t>P13-8</t>
  </si>
  <si>
    <t>P12-8</t>
  </si>
  <si>
    <t>P11-8</t>
  </si>
  <si>
    <t>P10-8</t>
  </si>
  <si>
    <t>P9-8</t>
  </si>
  <si>
    <t>P8-8</t>
  </si>
  <si>
    <t>P7-8</t>
  </si>
  <si>
    <t>P1-8</t>
  </si>
  <si>
    <t>P90-RS7</t>
  </si>
  <si>
    <t>P89-RS7</t>
  </si>
  <si>
    <t>P88-RS7</t>
  </si>
  <si>
    <t>P87-RS7</t>
  </si>
  <si>
    <t>P86-RS7</t>
  </si>
  <si>
    <t>P85-RS7</t>
  </si>
  <si>
    <t>P84-RS7</t>
  </si>
  <si>
    <t>P83-RS7</t>
  </si>
  <si>
    <t>P82-RS7</t>
  </si>
  <si>
    <t>P81-RS7</t>
  </si>
  <si>
    <t>P80-RS7</t>
  </si>
  <si>
    <t>P79-RS7</t>
  </si>
  <si>
    <t>P78-RS7</t>
  </si>
  <si>
    <t>P77-RS7</t>
  </si>
  <si>
    <t>P76-RS7</t>
  </si>
  <si>
    <t>P75-RS7</t>
  </si>
  <si>
    <t>P74-RS7</t>
  </si>
  <si>
    <t>P73-RS7</t>
  </si>
  <si>
    <t>P72-RS7</t>
  </si>
  <si>
    <t>P71-RS7</t>
  </si>
  <si>
    <t>P70-RS7</t>
  </si>
  <si>
    <t>P69-RS7</t>
  </si>
  <si>
    <t>P68-RS7</t>
  </si>
  <si>
    <t>P67-RS7</t>
  </si>
  <si>
    <t>P66-RS7</t>
  </si>
  <si>
    <t>P65-RS7</t>
  </si>
  <si>
    <t>P64-RS7</t>
  </si>
  <si>
    <t>P63-RS7</t>
  </si>
  <si>
    <t>P62-RS7</t>
  </si>
  <si>
    <t>P61-RS7</t>
  </si>
  <si>
    <t>P60-RS7</t>
  </si>
  <si>
    <t>P59-RS7</t>
  </si>
  <si>
    <t>P58-RS7</t>
  </si>
  <si>
    <t>P57-RS7</t>
  </si>
  <si>
    <t>P56-RS7</t>
  </si>
  <si>
    <t>P55-RS7</t>
  </si>
  <si>
    <t>P54-RS7</t>
  </si>
  <si>
    <t>P53-RS7</t>
  </si>
  <si>
    <t>P52-RS7</t>
  </si>
  <si>
    <t>P51-RS7</t>
  </si>
  <si>
    <t>P50-RS7</t>
  </si>
  <si>
    <t>P49-RS7</t>
  </si>
  <si>
    <t>P48-RS7</t>
  </si>
  <si>
    <t>P47-RS7</t>
  </si>
  <si>
    <t>P46-RS7</t>
  </si>
  <si>
    <t>P45-RS7</t>
  </si>
  <si>
    <t>P44-RS7</t>
  </si>
  <si>
    <t>P43-RS7</t>
  </si>
  <si>
    <t>P42-RS7</t>
  </si>
  <si>
    <t>P41-RS7</t>
  </si>
  <si>
    <t>P40-RS7</t>
  </si>
  <si>
    <t>P39-RS7</t>
  </si>
  <si>
    <t>P38-RS7</t>
  </si>
  <si>
    <t>P37-RS7</t>
  </si>
  <si>
    <t>P36-RS7</t>
  </si>
  <si>
    <t>P35-RS7</t>
  </si>
  <si>
    <t>P34-RS7</t>
  </si>
  <si>
    <t>P33-RS7</t>
  </si>
  <si>
    <t>P32-RS7</t>
  </si>
  <si>
    <t>P31-RS7</t>
  </si>
  <si>
    <t>P30-7</t>
  </si>
  <si>
    <t>P29-7</t>
  </si>
  <si>
    <t>P28-7</t>
  </si>
  <si>
    <t>P27-7</t>
  </si>
  <si>
    <t>P26-7</t>
  </si>
  <si>
    <t>P25-7</t>
  </si>
  <si>
    <t>P24-7</t>
  </si>
  <si>
    <t>P23-7</t>
  </si>
  <si>
    <t>P22-7</t>
  </si>
  <si>
    <t>P21-7</t>
  </si>
  <si>
    <t>P20-7</t>
  </si>
  <si>
    <t>P19-7</t>
  </si>
  <si>
    <t>P18-7</t>
  </si>
  <si>
    <t>P17-7</t>
  </si>
  <si>
    <t>P16-7</t>
  </si>
  <si>
    <t>P15-7</t>
  </si>
  <si>
    <t>P14-7</t>
  </si>
  <si>
    <t>P13-7</t>
  </si>
  <si>
    <t>P12-7</t>
  </si>
  <si>
    <t>P11-7</t>
  </si>
  <si>
    <t>P10-7</t>
  </si>
  <si>
    <t>P9-7</t>
  </si>
  <si>
    <t>P8-7</t>
  </si>
  <si>
    <t>P7-7</t>
  </si>
  <si>
    <t>P1-7</t>
  </si>
  <si>
    <t>P90-RS6</t>
  </si>
  <si>
    <t>P89-RS6</t>
  </si>
  <si>
    <t>P88-RS6</t>
  </si>
  <si>
    <t>P87-RS6</t>
  </si>
  <si>
    <t>P86-RS6</t>
  </si>
  <si>
    <t>P85-RS6</t>
  </si>
  <si>
    <t>P84-RS6</t>
  </si>
  <si>
    <t>P83-RS6</t>
  </si>
  <si>
    <t>P82-RS6</t>
  </si>
  <si>
    <t>P81-RS6</t>
  </si>
  <si>
    <t>P80-RS6</t>
  </si>
  <si>
    <t>P79-RS6</t>
  </si>
  <si>
    <t>P78-RS6</t>
  </si>
  <si>
    <t>P77-RS6</t>
  </si>
  <si>
    <t>P76-RS6</t>
  </si>
  <si>
    <t>P75-RS6</t>
  </si>
  <si>
    <t>P74-RS6</t>
  </si>
  <si>
    <t>P73-RS6</t>
  </si>
  <si>
    <t>P72-RS6</t>
  </si>
  <si>
    <t>P71-RS6</t>
  </si>
  <si>
    <t>P70-RS6</t>
  </si>
  <si>
    <t>P69-RS6</t>
  </si>
  <si>
    <t>P68-RS6</t>
  </si>
  <si>
    <t>P67-RS6</t>
  </si>
  <si>
    <t>P66-RS6</t>
  </si>
  <si>
    <t>P65-RS6</t>
  </si>
  <si>
    <t>P64-RS6</t>
  </si>
  <si>
    <t>P63-RS6</t>
  </si>
  <si>
    <t>P62-RS6</t>
  </si>
  <si>
    <t>P61-RS6</t>
  </si>
  <si>
    <t>P60-RS6</t>
  </si>
  <si>
    <t>P59-RS6</t>
  </si>
  <si>
    <t>P58-RS6</t>
  </si>
  <si>
    <t>P57-RS6</t>
  </si>
  <si>
    <t>P56-RS6</t>
  </si>
  <si>
    <t>P55-RS6</t>
  </si>
  <si>
    <t>P54-RS6</t>
  </si>
  <si>
    <t>P53-RS6</t>
  </si>
  <si>
    <t>P52-RS6</t>
  </si>
  <si>
    <t>P51-RS6</t>
  </si>
  <si>
    <t>P50-RS6</t>
  </si>
  <si>
    <t>P49-RS6</t>
  </si>
  <si>
    <t>P48-RS6</t>
  </si>
  <si>
    <t>P47-RS6</t>
  </si>
  <si>
    <t>P46-RS6</t>
  </si>
  <si>
    <t>P45-RS6</t>
  </si>
  <si>
    <t>P44-RS6</t>
  </si>
  <si>
    <t>P43-RS6</t>
  </si>
  <si>
    <t>P42-RS6</t>
  </si>
  <si>
    <t>P41-RS6</t>
  </si>
  <si>
    <t>P40-RS6</t>
  </si>
  <si>
    <t>P39-RS6</t>
  </si>
  <si>
    <t>P38-RS6</t>
  </si>
  <si>
    <t>P37-RS6</t>
  </si>
  <si>
    <t>P36-RS6</t>
  </si>
  <si>
    <t>P35-RS6</t>
  </si>
  <si>
    <t>P34-RS6</t>
  </si>
  <si>
    <t>P33-RS6</t>
  </si>
  <si>
    <t>P32-RS6</t>
  </si>
  <si>
    <t>P31-RS6</t>
  </si>
  <si>
    <t>P30-6</t>
  </si>
  <si>
    <t>P29-6</t>
  </si>
  <si>
    <t>P28-6</t>
  </si>
  <si>
    <t>P27-6</t>
  </si>
  <si>
    <t>P26-6</t>
  </si>
  <si>
    <t>P25-6</t>
  </si>
  <si>
    <t>P24-6</t>
  </si>
  <si>
    <t>P23-6</t>
  </si>
  <si>
    <t>P22-6</t>
  </si>
  <si>
    <t>P21-6</t>
  </si>
  <si>
    <t>P20-6</t>
  </si>
  <si>
    <t>P19-6</t>
  </si>
  <si>
    <t>P18-6</t>
  </si>
  <si>
    <t>P17-6</t>
  </si>
  <si>
    <t>P16-6</t>
  </si>
  <si>
    <t>P15-6</t>
  </si>
  <si>
    <t>P14-6</t>
  </si>
  <si>
    <t>P13-6</t>
  </si>
  <si>
    <t>P12-6</t>
  </si>
  <si>
    <t>P11-6</t>
  </si>
  <si>
    <t>P10-6</t>
  </si>
  <si>
    <t>P9-6</t>
  </si>
  <si>
    <t>P8-6</t>
  </si>
  <si>
    <t>P7-6</t>
  </si>
  <si>
    <t>P1-6</t>
  </si>
  <si>
    <t>P90-RS5</t>
  </si>
  <si>
    <t>P89-RS5</t>
  </si>
  <si>
    <t>P88-RS5</t>
  </si>
  <si>
    <t>P87-RS5</t>
  </si>
  <si>
    <t>P86-RS5</t>
  </si>
  <si>
    <t>P85-RS5</t>
  </si>
  <si>
    <t>P84-RS5</t>
  </si>
  <si>
    <t>P83-RS5</t>
  </si>
  <si>
    <t>P82-RS5</t>
  </si>
  <si>
    <t>P81-RS5</t>
  </si>
  <si>
    <t>P80-RS5</t>
  </si>
  <si>
    <t>P79-RS5</t>
  </si>
  <si>
    <t>P78-RS5</t>
  </si>
  <si>
    <t>P77-RS5</t>
  </si>
  <si>
    <t>P76-RS5</t>
  </si>
  <si>
    <t>P75-RS5</t>
  </si>
  <si>
    <t>P74-RS5</t>
  </si>
  <si>
    <t>P73-RS5</t>
  </si>
  <si>
    <t>P72-RS5</t>
  </si>
  <si>
    <t>P71-RS5</t>
  </si>
  <si>
    <t>P70-RS5</t>
  </si>
  <si>
    <t>P69-RS5</t>
  </si>
  <si>
    <t>P68-RS5</t>
  </si>
  <si>
    <t>P67-RS5</t>
  </si>
  <si>
    <t>P66-RS5</t>
  </si>
  <si>
    <t>P65-RS5</t>
  </si>
  <si>
    <t>P64-RS5</t>
  </si>
  <si>
    <t>P63-RS5</t>
  </si>
  <si>
    <t>P62-RS5</t>
  </si>
  <si>
    <t>P61-RS5</t>
  </si>
  <si>
    <t>P60-RS5</t>
  </si>
  <si>
    <t>P59-RS5</t>
  </si>
  <si>
    <t>P58-RS5</t>
  </si>
  <si>
    <t>P57-RS5</t>
  </si>
  <si>
    <t>P56-RS5</t>
  </si>
  <si>
    <t>P55-RS5</t>
  </si>
  <si>
    <t>P54-RS5</t>
  </si>
  <si>
    <t>P53-RS5</t>
  </si>
  <si>
    <t>P52-RS5</t>
  </si>
  <si>
    <t>P51-RS5</t>
  </si>
  <si>
    <t>P50-RS5</t>
  </si>
  <si>
    <t>P49-RS5</t>
  </si>
  <si>
    <t>P48-RS5</t>
  </si>
  <si>
    <t>P47-RS5</t>
  </si>
  <si>
    <t>P46-RS5</t>
  </si>
  <si>
    <t>P45-RS5</t>
  </si>
  <si>
    <t>P44-RS5</t>
  </si>
  <si>
    <t>P43-RS5</t>
  </si>
  <si>
    <t>P42-RS5</t>
  </si>
  <si>
    <t>P41-RS5</t>
  </si>
  <si>
    <t>P40-RS5</t>
  </si>
  <si>
    <t>P39-RS5</t>
  </si>
  <si>
    <t>P38-RS5</t>
  </si>
  <si>
    <t>P37-RS5</t>
  </si>
  <si>
    <t>P36-RS5</t>
  </si>
  <si>
    <t>P35-RS5</t>
  </si>
  <si>
    <t>P34-RS5</t>
  </si>
  <si>
    <t>P33-RS5</t>
  </si>
  <si>
    <t>P32-RS5</t>
  </si>
  <si>
    <t>P31-RS5</t>
  </si>
  <si>
    <t>P30-5</t>
  </si>
  <si>
    <t>P29-5</t>
  </si>
  <si>
    <t>P28-5</t>
  </si>
  <si>
    <t>P27-5</t>
  </si>
  <si>
    <t>P26-5</t>
  </si>
  <si>
    <t>P25-5</t>
  </si>
  <si>
    <t>P24-5</t>
  </si>
  <si>
    <t>P23-5</t>
  </si>
  <si>
    <t>P22-5</t>
  </si>
  <si>
    <t>P21-5</t>
  </si>
  <si>
    <t>P20-5</t>
  </si>
  <si>
    <t>P19-5</t>
  </si>
  <si>
    <t>P18-5</t>
  </si>
  <si>
    <t>P17-5</t>
  </si>
  <si>
    <t>P16-5</t>
  </si>
  <si>
    <t>P15-5</t>
  </si>
  <si>
    <t>P14-5</t>
  </si>
  <si>
    <t>P13-5</t>
  </si>
  <si>
    <t>P12-5</t>
  </si>
  <si>
    <t>P11-5</t>
  </si>
  <si>
    <t>P10-5</t>
  </si>
  <si>
    <t>P9-5</t>
  </si>
  <si>
    <t>P8-5</t>
  </si>
  <si>
    <t>P7-5</t>
  </si>
  <si>
    <t>P1-5</t>
  </si>
  <si>
    <t>P90-RS4</t>
  </si>
  <si>
    <t>P89-RS4</t>
  </si>
  <si>
    <t>P88-RS4</t>
  </si>
  <si>
    <t>P87-RS4</t>
  </si>
  <si>
    <t>P86-RS4</t>
  </si>
  <si>
    <t>P85-RS4</t>
  </si>
  <si>
    <t>P84-RS4</t>
  </si>
  <si>
    <t>P83-RS4</t>
  </si>
  <si>
    <t>P82-RS4</t>
  </si>
  <si>
    <t>P81-RS4</t>
  </si>
  <si>
    <t>P80-RS4</t>
  </si>
  <si>
    <t>P79-RS4</t>
  </si>
  <si>
    <t>P78-RS4</t>
  </si>
  <si>
    <t>P77-RS4</t>
  </si>
  <si>
    <t>P76-RS4</t>
  </si>
  <si>
    <t>P75-RS4</t>
  </si>
  <si>
    <t>P74-RS4</t>
  </si>
  <si>
    <t>P73-RS4</t>
  </si>
  <si>
    <t>P72-RS4</t>
  </si>
  <si>
    <t>P71-RS4</t>
  </si>
  <si>
    <t>P70-RS4</t>
  </si>
  <si>
    <t>P69-RS4</t>
  </si>
  <si>
    <t>P68-RS4</t>
  </si>
  <si>
    <t>P67-RS4</t>
  </si>
  <si>
    <t>P66-RS4</t>
  </si>
  <si>
    <t>P65-RS4</t>
  </si>
  <si>
    <t>P64-RS4</t>
  </si>
  <si>
    <t>P63-RS4</t>
  </si>
  <si>
    <t>P62-RS4</t>
  </si>
  <si>
    <t>P61-RS4</t>
  </si>
  <si>
    <t>P60-RS4</t>
  </si>
  <si>
    <t>P59-RS4</t>
  </si>
  <si>
    <t>P58-RS4</t>
  </si>
  <si>
    <t>P57-RS4</t>
  </si>
  <si>
    <t>P56-RS4</t>
  </si>
  <si>
    <t>P55-RS4</t>
  </si>
  <si>
    <t>P54-RS4</t>
  </si>
  <si>
    <t>P53-RS4</t>
  </si>
  <si>
    <t>P52-RS4</t>
  </si>
  <si>
    <t>P51-RS4</t>
  </si>
  <si>
    <t>P50-RS4</t>
  </si>
  <si>
    <t>P49-RS4</t>
  </si>
  <si>
    <t>P48-RS4</t>
  </si>
  <si>
    <t>P47-RS4</t>
  </si>
  <si>
    <t>P46-RS4</t>
  </si>
  <si>
    <t>P45-RS4</t>
  </si>
  <si>
    <t>P44-RS4</t>
  </si>
  <si>
    <t>P43-RS4</t>
  </si>
  <si>
    <t>P42-RS4</t>
  </si>
  <si>
    <t>P41-RS4</t>
  </si>
  <si>
    <t>P40-RS4</t>
  </si>
  <si>
    <t>P39-RS4</t>
  </si>
  <si>
    <t>P38-RS4</t>
  </si>
  <si>
    <t>P37-RS4</t>
  </si>
  <si>
    <t>P36-RS4</t>
  </si>
  <si>
    <t>P35-RS4</t>
  </si>
  <si>
    <t>P34-RS4</t>
  </si>
  <si>
    <t>P33-RS4</t>
  </si>
  <si>
    <t>P32-RS4</t>
  </si>
  <si>
    <t>P31-RS4</t>
  </si>
  <si>
    <t>P30-4</t>
  </si>
  <si>
    <t>P29-4</t>
  </si>
  <si>
    <t>P28-4</t>
  </si>
  <si>
    <t>P27-4</t>
  </si>
  <si>
    <t>P26-4</t>
  </si>
  <si>
    <t>P25-4</t>
  </si>
  <si>
    <t>P24-4</t>
  </si>
  <si>
    <t>P23-4</t>
  </si>
  <si>
    <t>P22-4</t>
  </si>
  <si>
    <t>P21-4</t>
  </si>
  <si>
    <t>P20-4</t>
  </si>
  <si>
    <t>P19-4</t>
  </si>
  <si>
    <t>P18-4</t>
  </si>
  <si>
    <t>P17-4</t>
  </si>
  <si>
    <t>P16-4</t>
  </si>
  <si>
    <t>P15-4</t>
  </si>
  <si>
    <t>P14-4</t>
  </si>
  <si>
    <t>P13-4</t>
  </si>
  <si>
    <t>P12-4</t>
  </si>
  <si>
    <t>P11-4</t>
  </si>
  <si>
    <t>P10-4</t>
  </si>
  <si>
    <t>P9-4</t>
  </si>
  <si>
    <t>P8-4</t>
  </si>
  <si>
    <t>P7-4</t>
  </si>
  <si>
    <t>P1-4</t>
  </si>
  <si>
    <t>P90-RS3</t>
  </si>
  <si>
    <t>P89-RS3</t>
  </si>
  <si>
    <t>P88-RS3</t>
  </si>
  <si>
    <t>P87-RS3</t>
  </si>
  <si>
    <t>P86-RS3</t>
  </si>
  <si>
    <t>P85-RS3</t>
  </si>
  <si>
    <t>P84-RS3</t>
  </si>
  <si>
    <t>P83-RS3</t>
  </si>
  <si>
    <t>P82-RS3</t>
  </si>
  <si>
    <t>P81-RS3</t>
  </si>
  <si>
    <t>P80-RS3</t>
  </si>
  <si>
    <t>P79-RS3</t>
  </si>
  <si>
    <t>P78-RS3</t>
  </si>
  <si>
    <t>P77-RS3</t>
  </si>
  <si>
    <t>P76-RS3</t>
  </si>
  <si>
    <t>P75-RS3</t>
  </si>
  <si>
    <t>P74-RS3</t>
  </si>
  <si>
    <t>P73-RS3</t>
  </si>
  <si>
    <t>P72-RS3</t>
  </si>
  <si>
    <t>P71-RS3</t>
  </si>
  <si>
    <t>P70-RS3</t>
  </si>
  <si>
    <t>P69-RS3</t>
  </si>
  <si>
    <t>P68-RS3</t>
  </si>
  <si>
    <t>P67-RS3</t>
  </si>
  <si>
    <t>P66-RS3</t>
  </si>
  <si>
    <t>P65-RS3</t>
  </si>
  <si>
    <t>P64-RS3</t>
  </si>
  <si>
    <t>P63-RS3</t>
  </si>
  <si>
    <t>P62-RS3</t>
  </si>
  <si>
    <t>P61-RS3</t>
  </si>
  <si>
    <t>P60-RS3</t>
  </si>
  <si>
    <t>P59-RS3</t>
  </si>
  <si>
    <t>P58-RS3</t>
  </si>
  <si>
    <t>P57-RS3</t>
  </si>
  <si>
    <t>P56-RS3</t>
  </si>
  <si>
    <t>P55-RS3</t>
  </si>
  <si>
    <t>P54-RS3</t>
  </si>
  <si>
    <t>P53-RS3</t>
  </si>
  <si>
    <t>P52-RS3</t>
  </si>
  <si>
    <t>P51-RS3</t>
  </si>
  <si>
    <t>P50-RS3</t>
  </si>
  <si>
    <t>P49-RS3</t>
  </si>
  <si>
    <t>P48-RS3</t>
  </si>
  <si>
    <t>P47-RS3</t>
  </si>
  <si>
    <t>P46-RS3</t>
  </si>
  <si>
    <t>P45-RS3</t>
  </si>
  <si>
    <t>P44-RS3</t>
  </si>
  <si>
    <t>P43-RS3</t>
  </si>
  <si>
    <t>P42-RS3</t>
  </si>
  <si>
    <t>P41-RS3</t>
  </si>
  <si>
    <t>P40-RS3</t>
  </si>
  <si>
    <t>P39-RS3</t>
  </si>
  <si>
    <t>P38-RS3</t>
  </si>
  <si>
    <t>P37-RS3</t>
  </si>
  <si>
    <t>P36-RS3</t>
  </si>
  <si>
    <t>P35-RS3</t>
  </si>
  <si>
    <t>P34-RS3</t>
  </si>
  <si>
    <t>P33-RS3</t>
  </si>
  <si>
    <t>P32-RS3</t>
  </si>
  <si>
    <t>P31-RS3</t>
  </si>
  <si>
    <t>P30-3</t>
  </si>
  <si>
    <t>P29-3</t>
  </si>
  <si>
    <t>P28-3</t>
  </si>
  <si>
    <t>P27-3</t>
  </si>
  <si>
    <t>P26-3</t>
  </si>
  <si>
    <t>P25-3</t>
  </si>
  <si>
    <t>P24-3</t>
  </si>
  <si>
    <t>P23-3</t>
  </si>
  <si>
    <t>P22-3</t>
  </si>
  <si>
    <t>P21-3</t>
  </si>
  <si>
    <t>P20-3</t>
  </si>
  <si>
    <t>P19-3</t>
  </si>
  <si>
    <t>P18-3</t>
  </si>
  <si>
    <t>P17-3</t>
  </si>
  <si>
    <t>P16-3</t>
  </si>
  <si>
    <t>P15-3</t>
  </si>
  <si>
    <t>P14-3</t>
  </si>
  <si>
    <t>P13-3</t>
  </si>
  <si>
    <t>P12-3</t>
  </si>
  <si>
    <t>P11-3</t>
  </si>
  <si>
    <t>P10-3</t>
  </si>
  <si>
    <t>P9-3</t>
  </si>
  <si>
    <t>P8-3</t>
  </si>
  <si>
    <t>P7-3</t>
  </si>
  <si>
    <t>P1-3</t>
  </si>
  <si>
    <t>P90-RS2</t>
  </si>
  <si>
    <t>P89-RS2</t>
  </si>
  <si>
    <t>P88-RS2</t>
  </si>
  <si>
    <t>P87-RS2</t>
  </si>
  <si>
    <t>P86-RS2</t>
  </si>
  <si>
    <t>P85-RS2</t>
  </si>
  <si>
    <t>P84-RS2</t>
  </si>
  <si>
    <t>P83-RS2</t>
  </si>
  <si>
    <t>P82-RS2</t>
  </si>
  <si>
    <t>P81-RS2</t>
  </si>
  <si>
    <t>P80-RS2</t>
  </si>
  <si>
    <t>P79-RS2</t>
  </si>
  <si>
    <t>P78-RS2</t>
  </si>
  <si>
    <t>P77-RS2</t>
  </si>
  <si>
    <t>P76-RS2</t>
  </si>
  <si>
    <t>P75-RS2</t>
  </si>
  <si>
    <t>P74-RS2</t>
  </si>
  <si>
    <t>P73-RS2</t>
  </si>
  <si>
    <t>P72-RS2</t>
  </si>
  <si>
    <t>P71-RS2</t>
  </si>
  <si>
    <t>P70-RS2</t>
  </si>
  <si>
    <t>P69-RS2</t>
  </si>
  <si>
    <t>P68-RS2</t>
  </si>
  <si>
    <t>P67-RS2</t>
  </si>
  <si>
    <t>P66-RS2</t>
  </si>
  <si>
    <t>P65-RS2</t>
  </si>
  <si>
    <t>P64-RS2</t>
  </si>
  <si>
    <t>P63-RS2</t>
  </si>
  <si>
    <t>P62-RS2</t>
  </si>
  <si>
    <t>P61-RS2</t>
  </si>
  <si>
    <t>P60-RS2</t>
  </si>
  <si>
    <t>P59-RS2</t>
  </si>
  <si>
    <t>P58-RS2</t>
  </si>
  <si>
    <t>P57-RS2</t>
  </si>
  <si>
    <t>P56-RS2</t>
  </si>
  <si>
    <t>P55-RS2</t>
  </si>
  <si>
    <t>P54-RS2</t>
  </si>
  <si>
    <t>P53-RS2</t>
  </si>
  <si>
    <t>P52-RS2</t>
  </si>
  <si>
    <t>P51-RS2</t>
  </si>
  <si>
    <t>P50-RS2</t>
  </si>
  <si>
    <t>P49-RS2</t>
  </si>
  <si>
    <t>P48-RS2</t>
  </si>
  <si>
    <t>P47-RS2</t>
  </si>
  <si>
    <t>P46-RS2</t>
  </si>
  <si>
    <t>P45-RS2</t>
  </si>
  <si>
    <t>P44-RS2</t>
  </si>
  <si>
    <t>P43-RS2</t>
  </si>
  <si>
    <t>P42-RS2</t>
  </si>
  <si>
    <t>P41-RS2</t>
  </si>
  <si>
    <t>P40-RS2</t>
  </si>
  <si>
    <t>P39-RS2</t>
  </si>
  <si>
    <t>P38-RS2</t>
  </si>
  <si>
    <t>P37-RS2</t>
  </si>
  <si>
    <t>P36-RS2</t>
  </si>
  <si>
    <t>P35-RS2</t>
  </si>
  <si>
    <t>P34-RS2</t>
  </si>
  <si>
    <t>P33-RS2</t>
  </si>
  <si>
    <t>P32-RS2</t>
  </si>
  <si>
    <t>P31-RS2</t>
  </si>
  <si>
    <t>P30-2</t>
  </si>
  <si>
    <t>P29-2</t>
  </si>
  <si>
    <t>P28-2</t>
  </si>
  <si>
    <t>P27-2</t>
  </si>
  <si>
    <t>P26-2</t>
  </si>
  <si>
    <t>P25-2</t>
  </si>
  <si>
    <t>P24-2</t>
  </si>
  <si>
    <t>P23-2</t>
  </si>
  <si>
    <t>P22-2</t>
  </si>
  <si>
    <t>P21-2</t>
  </si>
  <si>
    <t>P20-2</t>
  </si>
  <si>
    <t>P19-2</t>
  </si>
  <si>
    <t>P18-2</t>
  </si>
  <si>
    <t>P17-2</t>
  </si>
  <si>
    <t>P16-2</t>
  </si>
  <si>
    <t>P15-2</t>
  </si>
  <si>
    <t>P14-2</t>
  </si>
  <si>
    <t>P13-2</t>
  </si>
  <si>
    <t>P12-2</t>
  </si>
  <si>
    <t>P11-2</t>
  </si>
  <si>
    <t>P10-2</t>
  </si>
  <si>
    <t>P9-2</t>
  </si>
  <si>
    <t>P8-2</t>
  </si>
  <si>
    <t>P7-2</t>
  </si>
  <si>
    <t>P1-2</t>
  </si>
  <si>
    <t>P90</t>
  </si>
  <si>
    <t>P89</t>
  </si>
  <si>
    <t>P88</t>
  </si>
  <si>
    <t>P87</t>
  </si>
  <si>
    <t>P86</t>
  </si>
  <si>
    <t>P85</t>
  </si>
  <si>
    <t>P84</t>
  </si>
  <si>
    <t>P83</t>
  </si>
  <si>
    <t>P82</t>
  </si>
  <si>
    <t>P81</t>
  </si>
  <si>
    <t>P80</t>
  </si>
  <si>
    <t>P79</t>
  </si>
  <si>
    <t>P78</t>
  </si>
  <si>
    <t>P77</t>
  </si>
  <si>
    <t>P76</t>
  </si>
  <si>
    <t>P75</t>
  </si>
  <si>
    <t>P74</t>
  </si>
  <si>
    <t>P73</t>
  </si>
  <si>
    <t>P72</t>
  </si>
  <si>
    <t>P71</t>
  </si>
  <si>
    <t>P70</t>
  </si>
  <si>
    <t>P69</t>
  </si>
  <si>
    <t>P68</t>
  </si>
  <si>
    <t>P67</t>
  </si>
  <si>
    <t>P66</t>
  </si>
  <si>
    <t>P65</t>
  </si>
  <si>
    <t>P64</t>
  </si>
  <si>
    <t>P63</t>
  </si>
  <si>
    <t>P62</t>
  </si>
  <si>
    <t>P61</t>
  </si>
  <si>
    <t>P60</t>
  </si>
  <si>
    <t>P59</t>
  </si>
  <si>
    <t>P58</t>
  </si>
  <si>
    <t>P57</t>
  </si>
  <si>
    <t>P56</t>
  </si>
  <si>
    <t>P55</t>
  </si>
  <si>
    <t>P54</t>
  </si>
  <si>
    <t>P53</t>
  </si>
  <si>
    <t>P52</t>
  </si>
  <si>
    <t>P51</t>
  </si>
  <si>
    <t>P50</t>
  </si>
  <si>
    <t>P49</t>
  </si>
  <si>
    <t>P48</t>
  </si>
  <si>
    <t>P47</t>
  </si>
  <si>
    <t>P46</t>
  </si>
  <si>
    <t>P45</t>
  </si>
  <si>
    <t>P44</t>
  </si>
  <si>
    <t>P43</t>
  </si>
  <si>
    <t>P42</t>
  </si>
  <si>
    <t>P41</t>
  </si>
  <si>
    <t>P40</t>
  </si>
  <si>
    <t>P39</t>
  </si>
  <si>
    <t>P38</t>
  </si>
  <si>
    <t>P37</t>
  </si>
  <si>
    <t>P36</t>
  </si>
  <si>
    <t>P35</t>
  </si>
  <si>
    <t>P34</t>
  </si>
  <si>
    <t>P33</t>
  </si>
  <si>
    <t>P32</t>
  </si>
  <si>
    <t>P31</t>
  </si>
  <si>
    <t>P30-1</t>
  </si>
  <si>
    <t>P29-1</t>
  </si>
  <si>
    <t>P28-1</t>
  </si>
  <si>
    <t>P27-1</t>
  </si>
  <si>
    <t>P26-1</t>
  </si>
  <si>
    <t>P25-1</t>
  </si>
  <si>
    <t>P24-1</t>
  </si>
  <si>
    <t>P23-1</t>
  </si>
  <si>
    <t>P22-1</t>
  </si>
  <si>
    <t>P21-1</t>
  </si>
  <si>
    <t>P20-1</t>
  </si>
  <si>
    <t>P19-1</t>
  </si>
  <si>
    <t>P18-1</t>
  </si>
  <si>
    <t>P17-1</t>
  </si>
  <si>
    <t>P16-1</t>
  </si>
  <si>
    <t>P15-1</t>
  </si>
  <si>
    <t>P14-1</t>
  </si>
  <si>
    <t>P13-1</t>
  </si>
  <si>
    <t>P12-1</t>
  </si>
  <si>
    <t>P11-1</t>
  </si>
  <si>
    <t>P10-1</t>
  </si>
  <si>
    <t>P9-1</t>
  </si>
  <si>
    <t>P8-1</t>
  </si>
  <si>
    <t>P7-1</t>
  </si>
  <si>
    <t>P1-1</t>
  </si>
  <si>
    <t>Shade Reference</t>
  </si>
  <si>
    <t>Page #</t>
  </si>
  <si>
    <t>Page:</t>
  </si>
  <si>
    <t>P2-26</t>
  </si>
  <si>
    <t>P2-27</t>
  </si>
  <si>
    <t>P2-28</t>
  </si>
  <si>
    <t>P2-29</t>
  </si>
  <si>
    <t>P2-30</t>
  </si>
  <si>
    <t>P2-31</t>
  </si>
  <si>
    <t>P2-32</t>
  </si>
  <si>
    <t>P2-33</t>
  </si>
  <si>
    <t>P2-34</t>
  </si>
  <si>
    <t>P2-35</t>
  </si>
  <si>
    <t>P2-36</t>
  </si>
  <si>
    <t>P2-37</t>
  </si>
  <si>
    <t>P2-38</t>
  </si>
  <si>
    <t>P2-39</t>
  </si>
  <si>
    <t>P2-40</t>
  </si>
  <si>
    <t>P2-41</t>
  </si>
  <si>
    <t>P2-42</t>
  </si>
  <si>
    <t>P2-43</t>
  </si>
  <si>
    <t>P2-44</t>
  </si>
  <si>
    <t>P2-45</t>
  </si>
  <si>
    <t>P2-46</t>
  </si>
  <si>
    <t>P2-47</t>
  </si>
  <si>
    <t>P2-48</t>
  </si>
  <si>
    <t>P2-49</t>
  </si>
  <si>
    <t>P2-50</t>
  </si>
  <si>
    <t>P3-51</t>
  </si>
  <si>
    <t>P3-52</t>
  </si>
  <si>
    <t>P3-53</t>
  </si>
  <si>
    <t>P3-54</t>
  </si>
  <si>
    <t>P3-55</t>
  </si>
  <si>
    <t>P3-56</t>
  </si>
  <si>
    <t>P3-57</t>
  </si>
  <si>
    <t>P3-58</t>
  </si>
  <si>
    <t>P3-59</t>
  </si>
  <si>
    <t>P3-60</t>
  </si>
  <si>
    <t>P3-61</t>
  </si>
  <si>
    <t>P3-62</t>
  </si>
  <si>
    <t>P3-63</t>
  </si>
  <si>
    <t>P3-64</t>
  </si>
  <si>
    <t>P3-65</t>
  </si>
  <si>
    <t>P3-66</t>
  </si>
  <si>
    <t>P3-67</t>
  </si>
  <si>
    <t>P3-68</t>
  </si>
  <si>
    <t>P3-69</t>
  </si>
  <si>
    <t>P3-70</t>
  </si>
  <si>
    <t>P3-71</t>
  </si>
  <si>
    <t>P3-72</t>
  </si>
  <si>
    <t>P3-73</t>
  </si>
  <si>
    <t>P3-74</t>
  </si>
  <si>
    <t>P3-75</t>
  </si>
  <si>
    <t>P3-76</t>
  </si>
  <si>
    <t>P3-77</t>
  </si>
  <si>
    <t>P3-78</t>
  </si>
  <si>
    <t>P3-79</t>
  </si>
  <si>
    <t>P3-80</t>
  </si>
  <si>
    <t>P4-81</t>
  </si>
  <si>
    <t>P4-82</t>
  </si>
  <si>
    <t>P4-83</t>
  </si>
  <si>
    <t>P4-84</t>
  </si>
  <si>
    <t>P4-85</t>
  </si>
  <si>
    <t>P4-86</t>
  </si>
  <si>
    <t>P4-87</t>
  </si>
  <si>
    <t>P4-88</t>
  </si>
  <si>
    <t>P4-89</t>
  </si>
  <si>
    <t>P4-90</t>
  </si>
  <si>
    <t>P4-91</t>
  </si>
  <si>
    <t>P4-92</t>
  </si>
  <si>
    <t>P4-93</t>
  </si>
  <si>
    <t>P4-94</t>
  </si>
  <si>
    <t>P4-95</t>
  </si>
  <si>
    <t>P4-96</t>
  </si>
  <si>
    <t>P4-97</t>
  </si>
  <si>
    <t>P4-98</t>
  </si>
  <si>
    <t>P4-99</t>
  </si>
  <si>
    <t>P4-100</t>
  </si>
  <si>
    <t>P4-101</t>
  </si>
  <si>
    <t>P4-102</t>
  </si>
  <si>
    <t>P4-103</t>
  </si>
  <si>
    <t>P4-104</t>
  </si>
  <si>
    <t>P4-105</t>
  </si>
  <si>
    <t>P4-106</t>
  </si>
  <si>
    <t>P4-107</t>
  </si>
  <si>
    <t>P4-108</t>
  </si>
  <si>
    <t>P4-109</t>
  </si>
  <si>
    <t>P4-110</t>
  </si>
  <si>
    <t>P5-111</t>
  </si>
  <si>
    <t>P5-112</t>
  </si>
  <si>
    <t>P5-113</t>
  </si>
  <si>
    <t>P5-114</t>
  </si>
  <si>
    <t>P5-115</t>
  </si>
  <si>
    <t>P5-116</t>
  </si>
  <si>
    <t>P5-117</t>
  </si>
  <si>
    <t>P5-118</t>
  </si>
  <si>
    <t>P5-119</t>
  </si>
  <si>
    <t>P5-120</t>
  </si>
  <si>
    <t>P5-121</t>
  </si>
  <si>
    <t>P5-122</t>
  </si>
  <si>
    <t>P5-123</t>
  </si>
  <si>
    <t>P5-124</t>
  </si>
  <si>
    <t>P5-125</t>
  </si>
  <si>
    <t>P5-126</t>
  </si>
  <si>
    <t>P5-127</t>
  </si>
  <si>
    <t>P5-128</t>
  </si>
  <si>
    <t>P5-129</t>
  </si>
  <si>
    <t>P5-130</t>
  </si>
  <si>
    <t>P5-131</t>
  </si>
  <si>
    <t>P5-132</t>
  </si>
  <si>
    <t>P5-133</t>
  </si>
  <si>
    <t>P5-134</t>
  </si>
  <si>
    <t>P5-135</t>
  </si>
  <si>
    <t>P5-136</t>
  </si>
  <si>
    <t>P5-137</t>
  </si>
  <si>
    <t>P5-138</t>
  </si>
  <si>
    <t>P5-139</t>
  </si>
  <si>
    <t>P5-140</t>
  </si>
  <si>
    <t>P6-141</t>
  </si>
  <si>
    <t>P6-142</t>
  </si>
  <si>
    <t>P6-143</t>
  </si>
  <si>
    <t>P6-144</t>
  </si>
  <si>
    <t>P6-145</t>
  </si>
  <si>
    <t>P6-146</t>
  </si>
  <si>
    <t>P6-147</t>
  </si>
  <si>
    <t>P6-148</t>
  </si>
  <si>
    <t>P6-149</t>
  </si>
  <si>
    <t>P6-150</t>
  </si>
  <si>
    <t>P6-151</t>
  </si>
  <si>
    <t>P6-152</t>
  </si>
  <si>
    <t>P6-153</t>
  </si>
  <si>
    <t>P6-154</t>
  </si>
  <si>
    <t>P6-155</t>
  </si>
  <si>
    <t>P6-156</t>
  </si>
  <si>
    <t>P6-157</t>
  </si>
  <si>
    <t>P6-158</t>
  </si>
  <si>
    <t>P6-159</t>
  </si>
  <si>
    <t>P6-160</t>
  </si>
  <si>
    <t>P6-161</t>
  </si>
  <si>
    <t>P6-162</t>
  </si>
  <si>
    <t>P6-163</t>
  </si>
  <si>
    <t>P6-164</t>
  </si>
  <si>
    <t>P6-165</t>
  </si>
  <si>
    <t>P6-166</t>
  </si>
  <si>
    <t>P6-167</t>
  </si>
  <si>
    <t>P6-168</t>
  </si>
  <si>
    <t>P6-169</t>
  </si>
  <si>
    <t>P6-170</t>
  </si>
  <si>
    <t>Drapery Components</t>
  </si>
  <si>
    <t>Crinoline</t>
  </si>
  <si>
    <t>Thread</t>
  </si>
  <si>
    <t>Weights</t>
  </si>
  <si>
    <t>Drapery Hooks</t>
  </si>
  <si>
    <t>Pinch Pleat</t>
  </si>
  <si>
    <t>Cubicles</t>
  </si>
  <si>
    <t>Mesh</t>
  </si>
  <si>
    <t>Grommets</t>
  </si>
  <si>
    <t>Tags</t>
  </si>
  <si>
    <t>Stage Curtains</t>
  </si>
  <si>
    <t>Buckram</t>
  </si>
  <si>
    <t>Snap Curtains</t>
  </si>
  <si>
    <t>Snaps</t>
  </si>
  <si>
    <t>For UofU</t>
  </si>
  <si>
    <t>Snaps -double</t>
  </si>
  <si>
    <t>RFID chip</t>
  </si>
  <si>
    <t>Color Snap cap</t>
  </si>
  <si>
    <t>Twill Tape</t>
  </si>
  <si>
    <t>Fabric Yards</t>
  </si>
  <si>
    <t>Lining Yards</t>
  </si>
  <si>
    <t>Crinoline/Buckram</t>
  </si>
  <si>
    <t>Hooks</t>
  </si>
  <si>
    <t>Snap Tape</t>
  </si>
  <si>
    <t>Total Yards</t>
  </si>
  <si>
    <t># of each</t>
  </si>
  <si>
    <t># of pleats</t>
  </si>
  <si>
    <t>Drapery #</t>
  </si>
  <si>
    <t>Rods</t>
  </si>
  <si>
    <t xml:space="preserve">Split 30-48 </t>
  </si>
  <si>
    <t>Split 48-86</t>
  </si>
  <si>
    <t xml:space="preserve">Split 66-120 </t>
  </si>
  <si>
    <t xml:space="preserve">Split 86-150 </t>
  </si>
  <si>
    <t>Split 100-180</t>
  </si>
  <si>
    <t>Split 120-224</t>
  </si>
  <si>
    <t>RIGHT 30-48</t>
  </si>
  <si>
    <t>Split 160-300</t>
  </si>
  <si>
    <t xml:space="preserve">LEFT 30-48 </t>
  </si>
  <si>
    <t xml:space="preserve">RIGHT 48-86 </t>
  </si>
  <si>
    <t xml:space="preserve">LEFT 48-86  </t>
  </si>
  <si>
    <t xml:space="preserve">RIGHT 66-120 </t>
  </si>
  <si>
    <t>LEFT 66-120</t>
  </si>
  <si>
    <t>RIGHT 86-150</t>
  </si>
  <si>
    <t>LEFT 86-150</t>
  </si>
  <si>
    <t>Colored fields have formulas or drop down boxes</t>
  </si>
  <si>
    <t>SKS Track</t>
  </si>
  <si>
    <t>Occurrence</t>
  </si>
  <si>
    <t>Flat Sash Rod 12'-18'</t>
  </si>
  <si>
    <t>Flat Sash Rod 18'-28'</t>
  </si>
  <si>
    <t>Sash Rod 28-48</t>
  </si>
  <si>
    <t>Spring Pressure Rod..11"-16"</t>
  </si>
  <si>
    <t>Spring Pressure Rod..16'-24'</t>
  </si>
  <si>
    <t>Spring Pressure Rod..22'-36'.</t>
  </si>
  <si>
    <t>Line #</t>
  </si>
  <si>
    <t>Total #</t>
  </si>
  <si>
    <t>Formulas for Worksheet Pricing Section</t>
  </si>
  <si>
    <t>5th Avenue 72</t>
  </si>
  <si>
    <t>5th Avenue  58</t>
  </si>
  <si>
    <t>Password for protected worksheet = Colton</t>
  </si>
  <si>
    <t xml:space="preserve">Misc. </t>
  </si>
  <si>
    <t>Hrdw price</t>
  </si>
  <si>
    <t>Sq. Feet</t>
  </si>
  <si>
    <t>Trim to</t>
  </si>
  <si>
    <t>Pat. Match</t>
  </si>
  <si>
    <t>Master Page 1</t>
  </si>
  <si>
    <t>Master Page 2</t>
  </si>
  <si>
    <t>P1-41</t>
  </si>
  <si>
    <t>P1-42</t>
  </si>
  <si>
    <t>P1-43</t>
  </si>
  <si>
    <t>P1-44</t>
  </si>
  <si>
    <t>P1-45</t>
  </si>
  <si>
    <t>P1-46</t>
  </si>
  <si>
    <t>P1-47</t>
  </si>
  <si>
    <t>P1-48</t>
  </si>
  <si>
    <t>P1-49</t>
  </si>
  <si>
    <t>P1-50</t>
  </si>
  <si>
    <t>Custom</t>
  </si>
  <si>
    <t>Layton</t>
  </si>
  <si>
    <t>Snowbird  Ivory</t>
  </si>
  <si>
    <t>Snowbird  White</t>
  </si>
  <si>
    <t>Sheer</t>
  </si>
  <si>
    <t>Project:</t>
  </si>
  <si>
    <t xml:space="preserve">                  We are pleased to submit to you the following bid for your consideration:</t>
  </si>
  <si>
    <t>(if different):</t>
  </si>
  <si>
    <t>Billing Name:</t>
  </si>
  <si>
    <r>
      <t>Billing Phone/Email</t>
    </r>
    <r>
      <rPr>
        <sz val="8"/>
        <rFont val="Arial"/>
        <family val="2"/>
      </rPr>
      <t>:</t>
    </r>
  </si>
  <si>
    <r>
      <t>Billing Address</t>
    </r>
    <r>
      <rPr>
        <sz val="8"/>
        <rFont val="Arial"/>
        <family val="2"/>
      </rPr>
      <t>:</t>
    </r>
  </si>
  <si>
    <t>Colton Inc.</t>
  </si>
  <si>
    <t>DUE DATE:</t>
  </si>
  <si>
    <t>Today's Date:</t>
  </si>
  <si>
    <t>Installation Included</t>
  </si>
  <si>
    <t>Delivery Included</t>
  </si>
  <si>
    <t xml:space="preserve">Will Call </t>
  </si>
  <si>
    <t>Shipping Included</t>
  </si>
  <si>
    <t>Shipping NOT Included</t>
  </si>
  <si>
    <t>Shipping To Be Determined</t>
  </si>
  <si>
    <t xml:space="preserve">**NOTE: </t>
  </si>
  <si>
    <t>(If Applicable, Confirm Rate)</t>
  </si>
  <si>
    <t xml:space="preserve">Quote is valid for 60 days from Bid Date. </t>
  </si>
  <si>
    <t>Customer Signature</t>
  </si>
  <si>
    <t>@coltoninc.com</t>
  </si>
  <si>
    <t>We look forward to supplying the above listed products, and invite you to call us if you have any questions.</t>
  </si>
  <si>
    <t>Toll free number is 1-800-437-6488. Local number is 801-969-3453.</t>
  </si>
  <si>
    <t>(Exempt Number)</t>
  </si>
  <si>
    <t>Hang Only</t>
  </si>
  <si>
    <t xml:space="preserve">     Please note that all payments made with credit cards will be charged an additional 4% processing fee.</t>
  </si>
  <si>
    <t>Blackout (Flametrol)</t>
  </si>
  <si>
    <t>Total Yards Fabric</t>
  </si>
  <si>
    <t>Total Yards Lining</t>
  </si>
  <si>
    <t>Workroom Points</t>
  </si>
  <si>
    <t>Type+  l = left, r = right, f = flat, d = dead, s = sor, st = sor t &amp; b</t>
  </si>
  <si>
    <t>Workroom Copy</t>
  </si>
  <si>
    <t>Job number</t>
  </si>
  <si>
    <t>Cut Date:</t>
  </si>
  <si>
    <t>Completion Date:</t>
  </si>
  <si>
    <t>Inspected by:</t>
  </si>
  <si>
    <t>Total Fabric yds</t>
  </si>
  <si>
    <t>Total Lining yds</t>
  </si>
  <si>
    <t>Installation Copy</t>
  </si>
  <si>
    <t>job number</t>
  </si>
  <si>
    <t>Installer:</t>
  </si>
  <si>
    <t>Packaged by:</t>
  </si>
  <si>
    <t>Ship Date:</t>
  </si>
  <si>
    <t xml:space="preserve">Job Name: </t>
  </si>
  <si>
    <t>Shipping Copy</t>
  </si>
  <si>
    <t>New Shadow Cube</t>
  </si>
  <si>
    <t>P2-1</t>
  </si>
  <si>
    <t>P2-2</t>
  </si>
  <si>
    <t>P2-3</t>
  </si>
  <si>
    <t>P2-4</t>
  </si>
  <si>
    <t>P2-5</t>
  </si>
  <si>
    <t>P2-6</t>
  </si>
  <si>
    <t>P2-7</t>
  </si>
  <si>
    <t>P2-8</t>
  </si>
  <si>
    <t>P2-9</t>
  </si>
  <si>
    <t>P2-10</t>
  </si>
  <si>
    <t>P2-11</t>
  </si>
  <si>
    <t>P2-12</t>
  </si>
  <si>
    <t>P2-13</t>
  </si>
  <si>
    <t>P2-14</t>
  </si>
  <si>
    <t>P2-15</t>
  </si>
  <si>
    <t>P2-16</t>
  </si>
  <si>
    <t>P2-17</t>
  </si>
  <si>
    <t>P2-18</t>
  </si>
  <si>
    <t>P2-19</t>
  </si>
  <si>
    <t>P2-20</t>
  </si>
  <si>
    <t xml:space="preserve">WORKSHEET </t>
  </si>
  <si>
    <t xml:space="preserve">Pricing sheet  </t>
  </si>
  <si>
    <t>Total is automatically carried to the first page</t>
  </si>
  <si>
    <t>2nd page</t>
  </si>
  <si>
    <t>Adjust Fullness</t>
  </si>
  <si>
    <t>Standard fullness is 2.5 times. Use the box below to adjust fullness.</t>
  </si>
  <si>
    <t>Subtotal both pages</t>
  </si>
  <si>
    <t>Split 38-66</t>
  </si>
  <si>
    <t>&lt; $500</t>
  </si>
  <si>
    <t>$500 - $1000</t>
  </si>
  <si>
    <t>$1000 - $3000</t>
  </si>
  <si>
    <t>$3000 - $8000</t>
  </si>
  <si>
    <t>$8000 +</t>
  </si>
  <si>
    <t>ADMIN FEES</t>
  </si>
  <si>
    <t>Measure &amp; Travel</t>
  </si>
  <si>
    <t>Admin Fees</t>
  </si>
  <si>
    <t>* Shaded boxes have FORMULAS. DO NOT TYPE IN THOSE BOXES.</t>
  </si>
  <si>
    <t>Pricing Adjustment</t>
  </si>
  <si>
    <t>Category</t>
  </si>
  <si>
    <t>Page 1 total</t>
  </si>
  <si>
    <t>Pae 2 Total</t>
  </si>
  <si>
    <t>Total # Drapes</t>
  </si>
  <si>
    <t>JLL</t>
  </si>
  <si>
    <t>June 20 2025</t>
  </si>
  <si>
    <t>Windcrest WO#J5121027-00234.01</t>
  </si>
  <si>
    <t>8801 Midcrown Dr</t>
  </si>
  <si>
    <t>San Antonio, TX 78239</t>
  </si>
  <si>
    <t>Key Box# 78239 Back Door Mech enclosure #1830</t>
  </si>
  <si>
    <t>Room 114</t>
  </si>
  <si>
    <t>HO</t>
  </si>
  <si>
    <t>Room 115</t>
  </si>
  <si>
    <t>Room 116</t>
  </si>
  <si>
    <t>Bishop Woodlake</t>
  </si>
  <si>
    <t>Clerk</t>
  </si>
  <si>
    <t>Stake President</t>
  </si>
  <si>
    <t>High Council</t>
  </si>
  <si>
    <t>Foyers</t>
  </si>
  <si>
    <t>Chapel</t>
  </si>
  <si>
    <t>Bishop Converse</t>
  </si>
  <si>
    <t>Bishop Windcrest</t>
  </si>
  <si>
    <t>XX</t>
  </si>
  <si>
    <t>Doyle</t>
  </si>
  <si>
    <t>RS</t>
  </si>
  <si>
    <t>Primary</t>
  </si>
  <si>
    <t>Bishop Valencia</t>
  </si>
  <si>
    <t>1% sales fee</t>
  </si>
  <si>
    <t xml:space="preserve">Stage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</si>
</sst>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164" formatCode="0.0"/>
    <numFmt numFmtId="165" formatCode="0.0%"/>
    <numFmt numFmtId="166" formatCode="[$-409]d\-mmm\-yy;@"/>
    <numFmt numFmtId="167" formatCode="#\ ?/4"/>
    <numFmt numFmtId="168" formatCode="&quot;$&quot;#,##0.00"/>
  </numFmts>
  <fonts count="66">
    <font>
      <sz val="10"/>
      <name val="MS Sans Serif"/>
    </font>
    <font>
      <b/>
      <sz val="10"/>
      <name val="MS Sans Serif"/>
      <family val="2"/>
    </font>
    <font>
      <sz val="10"/>
      <name val="MS Sans Serif"/>
      <family val="2"/>
    </font>
    <font>
      <sz val="8"/>
      <name val="MS Sans Serif"/>
      <family val="2"/>
    </font>
    <font>
      <b/>
      <sz val="18"/>
      <name val="MS Sans Serif"/>
      <family val="2"/>
    </font>
    <font>
      <sz val="11"/>
      <name val="Times New Roman"/>
      <family val="1"/>
    </font>
    <font>
      <b/>
      <sz val="12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24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7.5"/>
      <color indexed="12"/>
      <name val="MS Sans Serif"/>
      <family val="2"/>
    </font>
    <font>
      <sz val="12"/>
      <name val="MS Sans Serif"/>
      <family val="2"/>
    </font>
    <font>
      <b/>
      <sz val="36"/>
      <name val="Penoir"/>
    </font>
    <font>
      <b/>
      <sz val="10"/>
      <name val="MS Sans Serif"/>
    </font>
    <font>
      <b/>
      <sz val="14.5"/>
      <name val="MS Sans Serif"/>
      <family val="2"/>
    </font>
    <font>
      <b/>
      <sz val="12"/>
      <name val="MS Sans Serif"/>
    </font>
    <font>
      <sz val="11"/>
      <name val="MS Sans Serif"/>
      <family val="2"/>
    </font>
    <font>
      <b/>
      <sz val="12"/>
      <name val="Park-Street"/>
    </font>
    <font>
      <sz val="18"/>
      <name val="MS Sans Serif"/>
      <family val="2"/>
    </font>
    <font>
      <sz val="8"/>
      <name val="MS Sans Serif"/>
    </font>
    <font>
      <b/>
      <sz val="14"/>
      <name val="MS Sans Serif"/>
    </font>
    <font>
      <sz val="10"/>
      <name val="Calibri"/>
      <family val="2"/>
      <scheme val="minor"/>
    </font>
    <font>
      <b/>
      <i/>
      <sz val="14"/>
      <name val="Calibri"/>
      <family val="2"/>
      <scheme val="minor"/>
    </font>
    <font>
      <sz val="12"/>
      <name val="Calibri"/>
      <family val="2"/>
      <scheme val="minor"/>
    </font>
    <font>
      <sz val="8"/>
      <name val="Calibri"/>
      <family val="2"/>
      <scheme val="minor"/>
    </font>
    <font>
      <b/>
      <sz val="18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sz val="16"/>
      <name val="MS Sans Serif"/>
    </font>
    <font>
      <b/>
      <sz val="16"/>
      <name val="MS Sans Serif"/>
    </font>
    <font>
      <sz val="10"/>
      <color theme="0"/>
      <name val="Calibri"/>
      <family val="2"/>
      <scheme val="minor"/>
    </font>
    <font>
      <sz val="8"/>
      <color rgb="FF000000"/>
      <name val="Segoe UI"/>
      <family val="2"/>
    </font>
    <font>
      <sz val="6"/>
      <name val="MS Sans Serif"/>
    </font>
    <font>
      <sz val="9"/>
      <name val="Calibri"/>
      <family val="2"/>
      <scheme val="minor"/>
    </font>
    <font>
      <b/>
      <sz val="11"/>
      <name val="MS Sans Serif"/>
    </font>
    <font>
      <sz val="11"/>
      <color theme="0"/>
      <name val="Calibri"/>
      <family val="2"/>
      <scheme val="minor"/>
    </font>
    <font>
      <sz val="12"/>
      <name val="MS Sans Serif"/>
    </font>
    <font>
      <b/>
      <sz val="26"/>
      <name val="MS Sans Serif"/>
    </font>
    <font>
      <sz val="12"/>
      <name val="Arial"/>
      <family val="2"/>
    </font>
    <font>
      <sz val="1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name val="Arial"/>
      <family val="2"/>
    </font>
    <font>
      <b/>
      <sz val="12"/>
      <color indexed="8"/>
      <name val="Arial"/>
      <family val="2"/>
    </font>
    <font>
      <b/>
      <sz val="9"/>
      <name val="Arial"/>
      <family val="2"/>
    </font>
    <font>
      <u/>
      <sz val="7.5"/>
      <color indexed="12"/>
      <name val="Arial"/>
      <family val="2"/>
    </font>
    <font>
      <b/>
      <sz val="8"/>
      <name val="Arial Narrow"/>
      <family val="2"/>
    </font>
    <font>
      <i/>
      <sz val="9"/>
      <name val="Arial"/>
      <family val="2"/>
    </font>
    <font>
      <b/>
      <sz val="24"/>
      <name val="Calibri"/>
      <family val="2"/>
      <scheme val="minor"/>
    </font>
    <font>
      <sz val="22"/>
      <name val="Calibri"/>
      <family val="2"/>
      <scheme val="minor"/>
    </font>
    <font>
      <b/>
      <sz val="26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name val="MS Sans Serif"/>
    </font>
    <font>
      <b/>
      <sz val="10"/>
      <color rgb="FFFF0000"/>
      <name val="MS Sans Serif"/>
    </font>
    <font>
      <sz val="20"/>
      <name val="Calibri"/>
      <family val="2"/>
      <scheme val="minor"/>
    </font>
    <font>
      <b/>
      <sz val="16"/>
      <name val="MS Sans Serif"/>
      <family val="2"/>
    </font>
  </fonts>
  <fills count="1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lightGray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2">
    <xf numFmtId="0" fontId="0" fillId="0" borderId="0"/>
    <xf numFmtId="8" fontId="2" fillId="0" borderId="0" applyFont="0" applyFill="0" applyBorder="0" applyAlignment="0" applyProtection="0"/>
    <xf numFmtId="44" fontId="12" fillId="0" borderId="0" applyFont="0" applyFill="0" applyBorder="0" applyAlignment="0" applyProtection="0"/>
    <xf numFmtId="8" fontId="2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2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2" fillId="0" borderId="0"/>
    <xf numFmtId="0" fontId="2" fillId="0" borderId="0"/>
  </cellStyleXfs>
  <cellXfs count="469">
    <xf numFmtId="0" fontId="0" fillId="0" borderId="0" xfId="0"/>
    <xf numFmtId="1" fontId="2" fillId="0" borderId="0" xfId="0" applyNumberFormat="1" applyFont="1"/>
    <xf numFmtId="7" fontId="0" fillId="0" borderId="0" xfId="0" applyNumberFormat="1"/>
    <xf numFmtId="0" fontId="0" fillId="0" borderId="1" xfId="0" applyBorder="1"/>
    <xf numFmtId="4" fontId="0" fillId="0" borderId="0" xfId="0" applyNumberFormat="1"/>
    <xf numFmtId="164" fontId="0" fillId="0" borderId="0" xfId="0" applyNumberFormat="1"/>
    <xf numFmtId="0" fontId="9" fillId="0" borderId="0" xfId="7" applyFont="1"/>
    <xf numFmtId="1" fontId="7" fillId="0" borderId="0" xfId="7" applyNumberFormat="1"/>
    <xf numFmtId="164" fontId="7" fillId="0" borderId="0" xfId="7" applyNumberFormat="1"/>
    <xf numFmtId="0" fontId="7" fillId="0" borderId="0" xfId="7"/>
    <xf numFmtId="1" fontId="10" fillId="0" borderId="0" xfId="7" applyNumberFormat="1" applyFont="1"/>
    <xf numFmtId="0" fontId="11" fillId="0" borderId="0" xfId="7" applyFont="1"/>
    <xf numFmtId="1" fontId="11" fillId="0" borderId="0" xfId="7" applyNumberFormat="1" applyFont="1"/>
    <xf numFmtId="164" fontId="11" fillId="0" borderId="0" xfId="7" applyNumberFormat="1" applyFont="1"/>
    <xf numFmtId="0" fontId="7" fillId="2" borderId="0" xfId="7" applyFill="1"/>
    <xf numFmtId="12" fontId="0" fillId="0" borderId="0" xfId="0" applyNumberFormat="1"/>
    <xf numFmtId="0" fontId="1" fillId="0" borderId="0" xfId="0" applyFont="1"/>
    <xf numFmtId="0" fontId="15" fillId="0" borderId="0" xfId="0" applyFont="1"/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6" fillId="0" borderId="18" xfId="0" applyFont="1" applyBorder="1"/>
    <xf numFmtId="0" fontId="0" fillId="0" borderId="20" xfId="0" applyBorder="1" applyAlignment="1">
      <alignment horizontal="center"/>
    </xf>
    <xf numFmtId="0" fontId="0" fillId="0" borderId="20" xfId="0" applyBorder="1" applyAlignment="1">
      <alignment horizontal="left"/>
    </xf>
    <xf numFmtId="0" fontId="0" fillId="0" borderId="19" xfId="0" applyBorder="1" applyAlignment="1">
      <alignment horizontal="left"/>
    </xf>
    <xf numFmtId="0" fontId="17" fillId="0" borderId="6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 applyAlignment="1">
      <alignment horizontal="left"/>
    </xf>
    <xf numFmtId="0" fontId="16" fillId="0" borderId="6" xfId="0" applyFont="1" applyBorder="1" applyAlignment="1">
      <alignment horizontal="center"/>
    </xf>
    <xf numFmtId="0" fontId="16" fillId="0" borderId="0" xfId="0" applyFont="1" applyAlignment="1">
      <alignment horizontal="center"/>
    </xf>
    <xf numFmtId="0" fontId="0" fillId="0" borderId="13" xfId="0" applyBorder="1"/>
    <xf numFmtId="0" fontId="19" fillId="0" borderId="6" xfId="0" applyFont="1" applyBorder="1" applyAlignment="1">
      <alignment horizontal="center"/>
    </xf>
    <xf numFmtId="0" fontId="0" fillId="0" borderId="5" xfId="0" applyBorder="1" applyAlignment="1">
      <alignment horizontal="left"/>
    </xf>
    <xf numFmtId="0" fontId="6" fillId="0" borderId="13" xfId="0" applyFont="1" applyBorder="1"/>
    <xf numFmtId="0" fontId="0" fillId="5" borderId="19" xfId="0" applyFill="1" applyBorder="1" applyAlignment="1">
      <alignment horizontal="center"/>
    </xf>
    <xf numFmtId="0" fontId="16" fillId="0" borderId="19" xfId="0" applyFont="1" applyBorder="1" applyAlignment="1">
      <alignment horizontal="left"/>
    </xf>
    <xf numFmtId="0" fontId="16" fillId="0" borderId="18" xfId="0" applyFont="1" applyBorder="1"/>
    <xf numFmtId="0" fontId="16" fillId="0" borderId="20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0" fillId="0" borderId="0" xfId="0" applyFont="1" applyAlignment="1">
      <alignment horizontal="center"/>
    </xf>
    <xf numFmtId="0" fontId="21" fillId="0" borderId="18" xfId="0" applyFont="1" applyBorder="1"/>
    <xf numFmtId="0" fontId="22" fillId="0" borderId="0" xfId="0" applyFont="1" applyAlignment="1">
      <alignment horizontal="center"/>
    </xf>
    <xf numFmtId="0" fontId="24" fillId="0" borderId="0" xfId="0" applyFont="1"/>
    <xf numFmtId="0" fontId="25" fillId="0" borderId="0" xfId="0" applyFont="1"/>
    <xf numFmtId="1" fontId="26" fillId="0" borderId="0" xfId="0" applyNumberFormat="1" applyFont="1"/>
    <xf numFmtId="164" fontId="24" fillId="0" borderId="0" xfId="0" applyNumberFormat="1" applyFont="1"/>
    <xf numFmtId="0" fontId="27" fillId="0" borderId="0" xfId="0" applyFont="1"/>
    <xf numFmtId="0" fontId="28" fillId="0" borderId="0" xfId="0" applyFont="1"/>
    <xf numFmtId="7" fontId="28" fillId="0" borderId="0" xfId="0" applyNumberFormat="1" applyFont="1"/>
    <xf numFmtId="7" fontId="24" fillId="0" borderId="0" xfId="0" applyNumberFormat="1" applyFont="1"/>
    <xf numFmtId="4" fontId="24" fillId="0" borderId="0" xfId="0" applyNumberFormat="1" applyFont="1"/>
    <xf numFmtId="7" fontId="24" fillId="0" borderId="0" xfId="0" applyNumberFormat="1" applyFont="1" applyAlignment="1">
      <alignment horizontal="right"/>
    </xf>
    <xf numFmtId="0" fontId="29" fillId="0" borderId="0" xfId="0" applyFont="1"/>
    <xf numFmtId="0" fontId="30" fillId="0" borderId="0" xfId="0" applyFont="1"/>
    <xf numFmtId="0" fontId="30" fillId="0" borderId="0" xfId="0" applyFont="1" applyProtection="1">
      <protection locked="0"/>
    </xf>
    <xf numFmtId="1" fontId="29" fillId="0" borderId="0" xfId="0" applyNumberFormat="1" applyFont="1" applyProtection="1">
      <protection locked="0"/>
    </xf>
    <xf numFmtId="0" fontId="29" fillId="0" borderId="0" xfId="0" applyFont="1" applyProtection="1">
      <protection locked="0"/>
    </xf>
    <xf numFmtId="164" fontId="29" fillId="0" borderId="0" xfId="0" applyNumberFormat="1" applyFont="1" applyProtection="1">
      <protection locked="0"/>
    </xf>
    <xf numFmtId="12" fontId="29" fillId="0" borderId="0" xfId="0" applyNumberFormat="1" applyFont="1" applyProtection="1">
      <protection locked="0"/>
    </xf>
    <xf numFmtId="16" fontId="24" fillId="0" borderId="0" xfId="0" applyNumberFormat="1" applyFont="1" applyAlignment="1" applyProtection="1">
      <alignment horizontal="center"/>
      <protection locked="0"/>
    </xf>
    <xf numFmtId="15" fontId="24" fillId="0" borderId="0" xfId="0" applyNumberFormat="1" applyFont="1"/>
    <xf numFmtId="7" fontId="29" fillId="0" borderId="0" xfId="0" applyNumberFormat="1" applyFont="1" applyProtection="1">
      <protection locked="0"/>
    </xf>
    <xf numFmtId="4" fontId="29" fillId="0" borderId="0" xfId="0" applyNumberFormat="1" applyFont="1" applyProtection="1">
      <protection locked="0"/>
    </xf>
    <xf numFmtId="0" fontId="31" fillId="0" borderId="0" xfId="0" applyFont="1"/>
    <xf numFmtId="0" fontId="29" fillId="0" borderId="1" xfId="0" applyFont="1" applyBorder="1" applyProtection="1">
      <protection locked="0"/>
    </xf>
    <xf numFmtId="0" fontId="24" fillId="0" borderId="0" xfId="0" applyFont="1" applyProtection="1">
      <protection locked="0"/>
    </xf>
    <xf numFmtId="7" fontId="29" fillId="0" borderId="0" xfId="0" applyNumberFormat="1" applyFont="1"/>
    <xf numFmtId="22" fontId="29" fillId="0" borderId="0" xfId="0" applyNumberFormat="1" applyFont="1" applyProtection="1">
      <protection locked="0"/>
    </xf>
    <xf numFmtId="0" fontId="33" fillId="0" borderId="0" xfId="0" applyFont="1" applyAlignment="1" applyProtection="1">
      <alignment horizontal="right"/>
      <protection locked="0"/>
    </xf>
    <xf numFmtId="7" fontId="31" fillId="0" borderId="7" xfId="0" applyNumberFormat="1" applyFont="1" applyBorder="1" applyProtection="1">
      <protection locked="0"/>
    </xf>
    <xf numFmtId="7" fontId="29" fillId="0" borderId="3" xfId="0" applyNumberFormat="1" applyFont="1" applyBorder="1" applyProtection="1">
      <protection locked="0"/>
    </xf>
    <xf numFmtId="164" fontId="24" fillId="0" borderId="0" xfId="0" applyNumberFormat="1" applyFont="1" applyProtection="1">
      <protection locked="0"/>
    </xf>
    <xf numFmtId="7" fontId="32" fillId="0" borderId="5" xfId="0" applyNumberFormat="1" applyFont="1" applyBorder="1" applyProtection="1">
      <protection locked="0"/>
    </xf>
    <xf numFmtId="7" fontId="29" fillId="0" borderId="5" xfId="0" applyNumberFormat="1" applyFont="1" applyBorder="1" applyProtection="1">
      <protection locked="0"/>
    </xf>
    <xf numFmtId="166" fontId="24" fillId="0" borderId="0" xfId="0" applyNumberFormat="1" applyFont="1" applyProtection="1">
      <protection locked="0"/>
    </xf>
    <xf numFmtId="4" fontId="24" fillId="0" borderId="0" xfId="0" applyNumberFormat="1" applyFont="1" applyProtection="1">
      <protection locked="0"/>
    </xf>
    <xf numFmtId="0" fontId="31" fillId="0" borderId="0" xfId="0" applyFont="1" applyProtection="1">
      <protection locked="0"/>
    </xf>
    <xf numFmtId="0" fontId="31" fillId="0" borderId="20" xfId="0" applyFont="1" applyBorder="1" applyProtection="1">
      <protection locked="0"/>
    </xf>
    <xf numFmtId="0" fontId="34" fillId="0" borderId="0" xfId="0" applyFont="1" applyProtection="1">
      <protection locked="0"/>
    </xf>
    <xf numFmtId="164" fontId="29" fillId="0" borderId="0" xfId="0" applyNumberFormat="1" applyFont="1"/>
    <xf numFmtId="0" fontId="29" fillId="0" borderId="0" xfId="0" applyFont="1" applyAlignment="1">
      <alignment horizontal="center"/>
    </xf>
    <xf numFmtId="0" fontId="31" fillId="4" borderId="12" xfId="0" applyFont="1" applyFill="1" applyBorder="1" applyAlignment="1">
      <alignment horizontal="center"/>
    </xf>
    <xf numFmtId="1" fontId="31" fillId="4" borderId="4" xfId="0" applyNumberFormat="1" applyFont="1" applyFill="1" applyBorder="1" applyAlignment="1">
      <alignment horizontal="center"/>
    </xf>
    <xf numFmtId="0" fontId="31" fillId="4" borderId="4" xfId="0" applyFont="1" applyFill="1" applyBorder="1" applyAlignment="1">
      <alignment horizontal="center"/>
    </xf>
    <xf numFmtId="0" fontId="31" fillId="4" borderId="5" xfId="0" applyFont="1" applyFill="1" applyBorder="1" applyAlignment="1">
      <alignment horizontal="center"/>
    </xf>
    <xf numFmtId="164" fontId="31" fillId="4" borderId="5" xfId="0" applyNumberFormat="1" applyFont="1" applyFill="1" applyBorder="1"/>
    <xf numFmtId="0" fontId="31" fillId="4" borderId="5" xfId="0" applyFont="1" applyFill="1" applyBorder="1"/>
    <xf numFmtId="12" fontId="31" fillId="4" borderId="5" xfId="0" applyNumberFormat="1" applyFont="1" applyFill="1" applyBorder="1" applyAlignment="1">
      <alignment horizontal="center"/>
    </xf>
    <xf numFmtId="0" fontId="31" fillId="4" borderId="15" xfId="0" applyFont="1" applyFill="1" applyBorder="1" applyAlignment="1">
      <alignment horizontal="center"/>
    </xf>
    <xf numFmtId="0" fontId="35" fillId="4" borderId="12" xfId="0" applyFont="1" applyFill="1" applyBorder="1" applyAlignment="1">
      <alignment horizontal="center"/>
    </xf>
    <xf numFmtId="164" fontId="31" fillId="4" borderId="5" xfId="0" applyNumberFormat="1" applyFont="1" applyFill="1" applyBorder="1" applyAlignment="1">
      <alignment horizontal="center"/>
    </xf>
    <xf numFmtId="4" fontId="31" fillId="4" borderId="8" xfId="0" applyNumberFormat="1" applyFont="1" applyFill="1" applyBorder="1" applyAlignment="1">
      <alignment horizontal="center"/>
    </xf>
    <xf numFmtId="7" fontId="31" fillId="4" borderId="8" xfId="0" applyNumberFormat="1" applyFont="1" applyFill="1" applyBorder="1" applyAlignment="1">
      <alignment horizontal="center"/>
    </xf>
    <xf numFmtId="7" fontId="31" fillId="4" borderId="9" xfId="0" applyNumberFormat="1" applyFont="1" applyFill="1" applyBorder="1" applyAlignment="1">
      <alignment horizontal="center"/>
    </xf>
    <xf numFmtId="7" fontId="31" fillId="4" borderId="10" xfId="0" applyNumberFormat="1" applyFont="1" applyFill="1" applyBorder="1" applyAlignment="1">
      <alignment horizontal="center"/>
    </xf>
    <xf numFmtId="0" fontId="31" fillId="4" borderId="13" xfId="0" applyFont="1" applyFill="1" applyBorder="1" applyAlignment="1">
      <alignment horizontal="center"/>
    </xf>
    <xf numFmtId="1" fontId="31" fillId="4" borderId="2" xfId="0" applyNumberFormat="1" applyFont="1" applyFill="1" applyBorder="1" applyAlignment="1">
      <alignment horizontal="center"/>
    </xf>
    <xf numFmtId="0" fontId="31" fillId="4" borderId="2" xfId="0" applyFont="1" applyFill="1" applyBorder="1" applyAlignment="1">
      <alignment horizontal="center"/>
    </xf>
    <xf numFmtId="0" fontId="31" fillId="4" borderId="1" xfId="0" applyFont="1" applyFill="1" applyBorder="1" applyAlignment="1">
      <alignment horizontal="center"/>
    </xf>
    <xf numFmtId="164" fontId="31" fillId="4" borderId="1" xfId="0" applyNumberFormat="1" applyFont="1" applyFill="1" applyBorder="1" applyAlignment="1">
      <alignment horizontal="center"/>
    </xf>
    <xf numFmtId="0" fontId="31" fillId="4" borderId="1" xfId="0" applyFont="1" applyFill="1" applyBorder="1" applyAlignment="1">
      <alignment horizontal="left"/>
    </xf>
    <xf numFmtId="12" fontId="31" fillId="4" borderId="1" xfId="0" applyNumberFormat="1" applyFont="1" applyFill="1" applyBorder="1" applyAlignment="1">
      <alignment horizontal="left"/>
    </xf>
    <xf numFmtId="0" fontId="31" fillId="4" borderId="16" xfId="0" applyFont="1" applyFill="1" applyBorder="1" applyAlignment="1">
      <alignment horizontal="center"/>
    </xf>
    <xf numFmtId="0" fontId="35" fillId="4" borderId="13" xfId="0" applyFont="1" applyFill="1" applyBorder="1" applyAlignment="1">
      <alignment horizontal="center"/>
    </xf>
    <xf numFmtId="0" fontId="31" fillId="4" borderId="1" xfId="0" quotePrefix="1" applyFont="1" applyFill="1" applyBorder="1" applyAlignment="1">
      <alignment horizontal="center"/>
    </xf>
    <xf numFmtId="7" fontId="31" fillId="4" borderId="6" xfId="0" applyNumberFormat="1" applyFont="1" applyFill="1" applyBorder="1" applyAlignment="1">
      <alignment horizontal="center"/>
    </xf>
    <xf numFmtId="4" fontId="31" fillId="4" borderId="6" xfId="0" applyNumberFormat="1" applyFont="1" applyFill="1" applyBorder="1" applyAlignment="1">
      <alignment horizontal="center"/>
    </xf>
    <xf numFmtId="7" fontId="31" fillId="4" borderId="11" xfId="0" applyNumberFormat="1" applyFont="1" applyFill="1" applyBorder="1" applyAlignment="1">
      <alignment horizontal="center"/>
    </xf>
    <xf numFmtId="0" fontId="29" fillId="0" borderId="0" xfId="0" quotePrefix="1" applyFont="1"/>
    <xf numFmtId="0" fontId="29" fillId="0" borderId="13" xfId="0" applyFont="1" applyBorder="1" applyProtection="1">
      <protection locked="0"/>
    </xf>
    <xf numFmtId="0" fontId="29" fillId="0" borderId="6" xfId="0" applyFont="1" applyBorder="1" applyProtection="1">
      <protection locked="0"/>
    </xf>
    <xf numFmtId="1" fontId="29" fillId="0" borderId="2" xfId="0" applyNumberFormat="1" applyFont="1" applyBorder="1" applyProtection="1">
      <protection locked="0"/>
    </xf>
    <xf numFmtId="0" fontId="29" fillId="0" borderId="2" xfId="0" applyFont="1" applyBorder="1" applyProtection="1">
      <protection locked="0"/>
    </xf>
    <xf numFmtId="164" fontId="29" fillId="0" borderId="6" xfId="0" applyNumberFormat="1" applyFont="1" applyBorder="1" applyProtection="1">
      <protection locked="0"/>
    </xf>
    <xf numFmtId="0" fontId="29" fillId="0" borderId="17" xfId="0" applyFont="1" applyBorder="1" applyProtection="1">
      <protection locked="0"/>
    </xf>
    <xf numFmtId="164" fontId="29" fillId="3" borderId="6" xfId="0" applyNumberFormat="1" applyFont="1" applyFill="1" applyBorder="1"/>
    <xf numFmtId="0" fontId="29" fillId="0" borderId="16" xfId="0" applyFont="1" applyBorder="1" applyProtection="1">
      <protection locked="0"/>
    </xf>
    <xf numFmtId="8" fontId="29" fillId="3" borderId="2" xfId="1" applyFont="1" applyFill="1" applyBorder="1" applyAlignment="1" applyProtection="1">
      <alignment horizontal="right"/>
    </xf>
    <xf numFmtId="8" fontId="32" fillId="3" borderId="11" xfId="1" applyFont="1" applyFill="1" applyBorder="1" applyAlignment="1" applyProtection="1">
      <alignment horizontal="right"/>
    </xf>
    <xf numFmtId="0" fontId="29" fillId="2" borderId="0" xfId="0" applyFont="1" applyFill="1"/>
    <xf numFmtId="164" fontId="29" fillId="2" borderId="0" xfId="0" applyNumberFormat="1" applyFont="1" applyFill="1"/>
    <xf numFmtId="0" fontId="29" fillId="2" borderId="2" xfId="0" applyFont="1" applyFill="1" applyBorder="1"/>
    <xf numFmtId="0" fontId="32" fillId="0" borderId="0" xfId="0" applyFont="1" applyAlignment="1">
      <alignment horizontal="right"/>
    </xf>
    <xf numFmtId="164" fontId="32" fillId="0" borderId="0" xfId="0" applyNumberFormat="1" applyFont="1" applyAlignment="1">
      <alignment horizontal="right"/>
    </xf>
    <xf numFmtId="8" fontId="32" fillId="3" borderId="24" xfId="1" applyFont="1" applyFill="1" applyBorder="1" applyAlignment="1" applyProtection="1">
      <alignment horizontal="right"/>
    </xf>
    <xf numFmtId="8" fontId="31" fillId="3" borderId="25" xfId="1" applyFont="1" applyFill="1" applyBorder="1" applyAlignment="1" applyProtection="1">
      <alignment horizontal="right"/>
    </xf>
    <xf numFmtId="7" fontId="32" fillId="3" borderId="26" xfId="1" applyNumberFormat="1" applyFont="1" applyFill="1" applyBorder="1" applyAlignment="1" applyProtection="1">
      <alignment horizontal="right"/>
    </xf>
    <xf numFmtId="0" fontId="24" fillId="0" borderId="1" xfId="0" applyFont="1" applyBorder="1"/>
    <xf numFmtId="12" fontId="24" fillId="0" borderId="0" xfId="0" applyNumberFormat="1" applyFont="1"/>
    <xf numFmtId="4" fontId="32" fillId="0" borderId="0" xfId="0" applyNumberFormat="1" applyFont="1"/>
    <xf numFmtId="0" fontId="35" fillId="0" borderId="18" xfId="0" applyFont="1" applyBorder="1"/>
    <xf numFmtId="0" fontId="24" fillId="0" borderId="20" xfId="0" applyFont="1" applyBorder="1"/>
    <xf numFmtId="1" fontId="24" fillId="0" borderId="20" xfId="0" applyNumberFormat="1" applyFont="1" applyBorder="1"/>
    <xf numFmtId="0" fontId="24" fillId="0" borderId="6" xfId="0" applyFont="1" applyBorder="1" applyProtection="1">
      <protection locked="0"/>
    </xf>
    <xf numFmtId="165" fontId="24" fillId="0" borderId="6" xfId="0" applyNumberFormat="1" applyFont="1" applyBorder="1" applyProtection="1">
      <protection locked="0"/>
    </xf>
    <xf numFmtId="4" fontId="29" fillId="0" borderId="0" xfId="0" applyNumberFormat="1" applyFont="1"/>
    <xf numFmtId="0" fontId="31" fillId="0" borderId="21" xfId="0" applyFont="1" applyBorder="1"/>
    <xf numFmtId="0" fontId="35" fillId="0" borderId="13" xfId="0" applyFont="1" applyBorder="1"/>
    <xf numFmtId="1" fontId="24" fillId="0" borderId="1" xfId="0" applyNumberFormat="1" applyFont="1" applyBorder="1"/>
    <xf numFmtId="7" fontId="32" fillId="0" borderId="0" xfId="0" applyNumberFormat="1" applyFont="1"/>
    <xf numFmtId="12" fontId="29" fillId="0" borderId="0" xfId="0" applyNumberFormat="1" applyFont="1"/>
    <xf numFmtId="0" fontId="32" fillId="0" borderId="0" xfId="0" applyFont="1" applyProtection="1">
      <protection locked="0"/>
    </xf>
    <xf numFmtId="8" fontId="24" fillId="3" borderId="11" xfId="1" applyFont="1" applyFill="1" applyBorder="1" applyAlignment="1" applyProtection="1">
      <alignment horizontal="right"/>
    </xf>
    <xf numFmtId="0" fontId="33" fillId="0" borderId="18" xfId="0" applyFont="1" applyBorder="1"/>
    <xf numFmtId="10" fontId="24" fillId="0" borderId="1" xfId="0" applyNumberFormat="1" applyFont="1" applyBorder="1" applyProtection="1">
      <protection locked="0"/>
    </xf>
    <xf numFmtId="0" fontId="33" fillId="0" borderId="0" xfId="0" applyFont="1"/>
    <xf numFmtId="164" fontId="33" fillId="0" borderId="0" xfId="0" applyNumberFormat="1" applyFont="1"/>
    <xf numFmtId="10" fontId="24" fillId="0" borderId="0" xfId="0" applyNumberFormat="1" applyFont="1"/>
    <xf numFmtId="1" fontId="24" fillId="0" borderId="0" xfId="0" applyNumberFormat="1" applyFont="1"/>
    <xf numFmtId="0" fontId="37" fillId="0" borderId="5" xfId="0" applyFont="1" applyBorder="1" applyAlignment="1">
      <alignment horizontal="center"/>
    </xf>
    <xf numFmtId="0" fontId="38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2" fontId="37" fillId="0" borderId="0" xfId="0" applyNumberFormat="1" applyFont="1" applyAlignment="1">
      <alignment horizontal="center"/>
    </xf>
    <xf numFmtId="0" fontId="31" fillId="4" borderId="13" xfId="0" applyFont="1" applyFill="1" applyBorder="1" applyAlignment="1">
      <alignment horizontal="center" wrapText="1"/>
    </xf>
    <xf numFmtId="0" fontId="29" fillId="0" borderId="6" xfId="0" applyFont="1" applyBorder="1" applyAlignment="1" applyProtection="1">
      <alignment horizontal="center"/>
      <protection locked="0"/>
    </xf>
    <xf numFmtId="0" fontId="29" fillId="8" borderId="0" xfId="0" applyFont="1" applyFill="1"/>
    <xf numFmtId="0" fontId="29" fillId="8" borderId="6" xfId="0" applyFont="1" applyFill="1" applyBorder="1"/>
    <xf numFmtId="8" fontId="32" fillId="3" borderId="27" xfId="1" applyFont="1" applyFill="1" applyBorder="1" applyAlignment="1" applyProtection="1">
      <alignment horizontal="right"/>
    </xf>
    <xf numFmtId="0" fontId="41" fillId="0" borderId="19" xfId="0" applyFont="1" applyBorder="1" applyAlignment="1">
      <alignment horizontal="right"/>
    </xf>
    <xf numFmtId="167" fontId="14" fillId="0" borderId="6" xfId="0" applyNumberFormat="1" applyFont="1" applyBorder="1" applyAlignment="1">
      <alignment horizontal="center"/>
    </xf>
    <xf numFmtId="167" fontId="0" fillId="0" borderId="0" xfId="0" applyNumberFormat="1"/>
    <xf numFmtId="8" fontId="32" fillId="3" borderId="26" xfId="1" applyFont="1" applyFill="1" applyBorder="1" applyAlignment="1" applyProtection="1">
      <alignment horizontal="right"/>
    </xf>
    <xf numFmtId="0" fontId="24" fillId="0" borderId="20" xfId="0" applyFont="1" applyBorder="1" applyProtection="1">
      <protection locked="0"/>
    </xf>
    <xf numFmtId="0" fontId="16" fillId="5" borderId="6" xfId="0" applyFont="1" applyFill="1" applyBorder="1"/>
    <xf numFmtId="0" fontId="18" fillId="5" borderId="6" xfId="0" applyFont="1" applyFill="1" applyBorder="1" applyAlignment="1">
      <alignment wrapText="1"/>
    </xf>
    <xf numFmtId="0" fontId="43" fillId="0" borderId="29" xfId="0" applyFont="1" applyBorder="1"/>
    <xf numFmtId="0" fontId="16" fillId="0" borderId="13" xfId="0" applyFont="1" applyBorder="1"/>
    <xf numFmtId="0" fontId="16" fillId="5" borderId="18" xfId="0" applyFont="1" applyFill="1" applyBorder="1"/>
    <xf numFmtId="0" fontId="16" fillId="5" borderId="18" xfId="0" applyFont="1" applyFill="1" applyBorder="1" applyAlignment="1">
      <alignment horizontal="left"/>
    </xf>
    <xf numFmtId="0" fontId="42" fillId="0" borderId="13" xfId="0" applyFont="1" applyBorder="1" applyProtection="1">
      <protection locked="0"/>
    </xf>
    <xf numFmtId="14" fontId="29" fillId="0" borderId="0" xfId="0" applyNumberFormat="1" applyFont="1" applyProtection="1">
      <protection locked="0"/>
    </xf>
    <xf numFmtId="0" fontId="29" fillId="0" borderId="0" xfId="0" applyFont="1" applyAlignment="1" applyProtection="1">
      <alignment horizontal="right"/>
      <protection locked="0"/>
    </xf>
    <xf numFmtId="0" fontId="42" fillId="9" borderId="0" xfId="0" applyFont="1" applyFill="1"/>
    <xf numFmtId="0" fontId="29" fillId="9" borderId="0" xfId="0" applyFont="1" applyFill="1" applyAlignment="1">
      <alignment horizontal="center"/>
    </xf>
    <xf numFmtId="1" fontId="29" fillId="9" borderId="0" xfId="0" applyNumberFormat="1" applyFont="1" applyFill="1" applyAlignment="1">
      <alignment horizontal="center"/>
    </xf>
    <xf numFmtId="0" fontId="29" fillId="9" borderId="0" xfId="0" applyFont="1" applyFill="1"/>
    <xf numFmtId="164" fontId="29" fillId="9" borderId="0" xfId="0" applyNumberFormat="1" applyFont="1" applyFill="1"/>
    <xf numFmtId="0" fontId="24" fillId="9" borderId="0" xfId="0" applyFont="1" applyFill="1"/>
    <xf numFmtId="0" fontId="24" fillId="9" borderId="0" xfId="0" applyFont="1" applyFill="1" applyAlignment="1">
      <alignment horizontal="center"/>
    </xf>
    <xf numFmtId="0" fontId="24" fillId="9" borderId="1" xfId="0" applyFont="1" applyFill="1" applyBorder="1" applyAlignment="1">
      <alignment horizontal="center"/>
    </xf>
    <xf numFmtId="0" fontId="35" fillId="4" borderId="4" xfId="0" applyFont="1" applyFill="1" applyBorder="1" applyAlignment="1">
      <alignment horizontal="center"/>
    </xf>
    <xf numFmtId="0" fontId="39" fillId="0" borderId="0" xfId="0" applyFont="1"/>
    <xf numFmtId="7" fontId="31" fillId="0" borderId="0" xfId="0" applyNumberFormat="1" applyFont="1" applyAlignment="1">
      <alignment horizontal="center"/>
    </xf>
    <xf numFmtId="8" fontId="32" fillId="0" borderId="0" xfId="1" applyFont="1" applyFill="1" applyBorder="1" applyAlignment="1" applyProtection="1">
      <alignment horizontal="right"/>
    </xf>
    <xf numFmtId="8" fontId="31" fillId="0" borderId="0" xfId="1" applyFont="1" applyFill="1" applyBorder="1" applyAlignment="1" applyProtection="1">
      <alignment horizontal="right"/>
    </xf>
    <xf numFmtId="8" fontId="24" fillId="0" borderId="0" xfId="1" applyFont="1" applyFill="1" applyBorder="1" applyAlignment="1" applyProtection="1">
      <alignment horizontal="right"/>
      <protection locked="0"/>
    </xf>
    <xf numFmtId="8" fontId="24" fillId="0" borderId="0" xfId="1" applyFont="1" applyFill="1" applyBorder="1" applyAlignment="1" applyProtection="1">
      <alignment horizontal="right"/>
    </xf>
    <xf numFmtId="8" fontId="36" fillId="0" borderId="0" xfId="1" applyFont="1" applyFill="1" applyBorder="1" applyAlignment="1" applyProtection="1">
      <alignment horizontal="right"/>
    </xf>
    <xf numFmtId="0" fontId="5" fillId="0" borderId="13" xfId="0" applyFont="1" applyBorder="1" applyProtection="1">
      <protection locked="0"/>
    </xf>
    <xf numFmtId="7" fontId="29" fillId="7" borderId="6" xfId="0" applyNumberFormat="1" applyFont="1" applyFill="1" applyBorder="1" applyProtection="1">
      <protection locked="0"/>
    </xf>
    <xf numFmtId="7" fontId="29" fillId="0" borderId="6" xfId="0" applyNumberFormat="1" applyFont="1" applyBorder="1" applyProtection="1">
      <protection locked="0"/>
    </xf>
    <xf numFmtId="0" fontId="24" fillId="4" borderId="1" xfId="0" applyFont="1" applyFill="1" applyBorder="1"/>
    <xf numFmtId="8" fontId="24" fillId="0" borderId="11" xfId="1" applyFont="1" applyFill="1" applyBorder="1" applyAlignment="1" applyProtection="1">
      <alignment horizontal="right"/>
      <protection locked="0"/>
    </xf>
    <xf numFmtId="0" fontId="29" fillId="0" borderId="0" xfId="0" applyFont="1" applyAlignment="1">
      <alignment wrapText="1"/>
    </xf>
    <xf numFmtId="2" fontId="24" fillId="0" borderId="0" xfId="0" applyNumberFormat="1" applyFont="1"/>
    <xf numFmtId="2" fontId="29" fillId="0" borderId="0" xfId="0" applyNumberFormat="1" applyFont="1"/>
    <xf numFmtId="2" fontId="0" fillId="0" borderId="0" xfId="0" applyNumberFormat="1"/>
    <xf numFmtId="0" fontId="26" fillId="0" borderId="0" xfId="0" applyFont="1"/>
    <xf numFmtId="0" fontId="26" fillId="0" borderId="17" xfId="0" applyFont="1" applyBorder="1"/>
    <xf numFmtId="0" fontId="45" fillId="0" borderId="0" xfId="0" applyFont="1"/>
    <xf numFmtId="0" fontId="7" fillId="0" borderId="0" xfId="8"/>
    <xf numFmtId="0" fontId="7" fillId="0" borderId="17" xfId="8" applyBorder="1"/>
    <xf numFmtId="0" fontId="7" fillId="0" borderId="17" xfId="8" applyBorder="1" applyAlignment="1">
      <alignment horizontal="center"/>
    </xf>
    <xf numFmtId="0" fontId="7" fillId="0" borderId="0" xfId="8" applyAlignment="1">
      <alignment horizontal="center"/>
    </xf>
    <xf numFmtId="0" fontId="10" fillId="0" borderId="1" xfId="8" applyFont="1" applyBorder="1" applyAlignment="1">
      <alignment horizontal="center"/>
    </xf>
    <xf numFmtId="0" fontId="7" fillId="0" borderId="16" xfId="8" applyBorder="1" applyAlignment="1">
      <alignment horizontal="center"/>
    </xf>
    <xf numFmtId="0" fontId="24" fillId="0" borderId="1" xfId="0" applyFont="1" applyBorder="1" applyAlignment="1" applyProtection="1">
      <alignment horizontal="right"/>
      <protection locked="0"/>
    </xf>
    <xf numFmtId="0" fontId="7" fillId="0" borderId="33" xfId="8" applyBorder="1"/>
    <xf numFmtId="0" fontId="7" fillId="0" borderId="34" xfId="8" applyBorder="1"/>
    <xf numFmtId="0" fontId="7" fillId="0" borderId="31" xfId="8" applyBorder="1"/>
    <xf numFmtId="0" fontId="31" fillId="0" borderId="30" xfId="0" applyFont="1" applyBorder="1" applyAlignment="1" applyProtection="1">
      <alignment horizontal="center"/>
      <protection locked="0"/>
    </xf>
    <xf numFmtId="0" fontId="0" fillId="0" borderId="1" xfId="0" applyBorder="1" applyAlignment="1">
      <alignment wrapText="1"/>
    </xf>
    <xf numFmtId="0" fontId="0" fillId="0" borderId="6" xfId="0" applyBorder="1"/>
    <xf numFmtId="0" fontId="7" fillId="0" borderId="29" xfId="8" applyBorder="1"/>
    <xf numFmtId="0" fontId="7" fillId="0" borderId="0" xfId="8" applyAlignment="1">
      <alignment horizontal="right"/>
    </xf>
    <xf numFmtId="0" fontId="7" fillId="0" borderId="1" xfId="8" applyBorder="1"/>
    <xf numFmtId="0" fontId="33" fillId="8" borderId="12" xfId="0" applyFont="1" applyFill="1" applyBorder="1" applyAlignment="1">
      <alignment horizontal="center" wrapText="1"/>
    </xf>
    <xf numFmtId="0" fontId="31" fillId="8" borderId="12" xfId="0" applyFont="1" applyFill="1" applyBorder="1" applyAlignment="1">
      <alignment horizontal="center" wrapText="1"/>
    </xf>
    <xf numFmtId="0" fontId="33" fillId="8" borderId="13" xfId="0" applyFont="1" applyFill="1" applyBorder="1" applyAlignment="1">
      <alignment horizontal="center" wrapText="1"/>
    </xf>
    <xf numFmtId="0" fontId="31" fillId="8" borderId="13" xfId="0" applyFont="1" applyFill="1" applyBorder="1" applyAlignment="1">
      <alignment horizontal="center" wrapText="1"/>
    </xf>
    <xf numFmtId="0" fontId="29" fillId="11" borderId="2" xfId="0" applyFont="1" applyFill="1" applyBorder="1" applyProtection="1">
      <protection locked="0"/>
    </xf>
    <xf numFmtId="0" fontId="29" fillId="11" borderId="6" xfId="0" applyFont="1" applyFill="1" applyBorder="1" applyProtection="1">
      <protection locked="0"/>
    </xf>
    <xf numFmtId="0" fontId="29" fillId="11" borderId="18" xfId="0" applyFont="1" applyFill="1" applyBorder="1"/>
    <xf numFmtId="0" fontId="29" fillId="11" borderId="20" xfId="0" applyFont="1" applyFill="1" applyBorder="1"/>
    <xf numFmtId="0" fontId="29" fillId="11" borderId="20" xfId="0" applyFont="1" applyFill="1" applyBorder="1" applyAlignment="1">
      <alignment horizontal="center"/>
    </xf>
    <xf numFmtId="12" fontId="29" fillId="11" borderId="20" xfId="0" applyNumberFormat="1" applyFont="1" applyFill="1" applyBorder="1" applyAlignment="1">
      <alignment horizontal="center"/>
    </xf>
    <xf numFmtId="0" fontId="29" fillId="11" borderId="19" xfId="0" applyFont="1" applyFill="1" applyBorder="1" applyAlignment="1">
      <alignment horizontal="center"/>
    </xf>
    <xf numFmtId="0" fontId="7" fillId="0" borderId="32" xfId="8" applyBorder="1"/>
    <xf numFmtId="0" fontId="7" fillId="0" borderId="35" xfId="8" applyBorder="1"/>
    <xf numFmtId="0" fontId="7" fillId="0" borderId="36" xfId="8" applyBorder="1"/>
    <xf numFmtId="0" fontId="7" fillId="0" borderId="37" xfId="8" applyBorder="1"/>
    <xf numFmtId="0" fontId="7" fillId="0" borderId="38" xfId="8" applyBorder="1"/>
    <xf numFmtId="0" fontId="7" fillId="0" borderId="22" xfId="8" applyBorder="1"/>
    <xf numFmtId="0" fontId="7" fillId="0" borderId="23" xfId="8" applyBorder="1"/>
    <xf numFmtId="0" fontId="7" fillId="0" borderId="39" xfId="8" applyBorder="1"/>
    <xf numFmtId="0" fontId="0" fillId="0" borderId="12" xfId="0" applyBorder="1" applyAlignment="1">
      <alignment horizontal="left"/>
    </xf>
    <xf numFmtId="0" fontId="0" fillId="0" borderId="29" xfId="0" applyBorder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1" xfId="0" applyFont="1" applyBorder="1"/>
    <xf numFmtId="0" fontId="7" fillId="0" borderId="23" xfId="8" applyBorder="1" applyAlignment="1">
      <alignment horizontal="center"/>
    </xf>
    <xf numFmtId="0" fontId="7" fillId="0" borderId="17" xfId="8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1" fontId="29" fillId="7" borderId="2" xfId="0" applyNumberFormat="1" applyFont="1" applyFill="1" applyBorder="1"/>
    <xf numFmtId="0" fontId="29" fillId="7" borderId="1" xfId="0" applyFont="1" applyFill="1" applyBorder="1"/>
    <xf numFmtId="0" fontId="29" fillId="7" borderId="20" xfId="0" applyFont="1" applyFill="1" applyBorder="1" applyAlignment="1">
      <alignment horizontal="center"/>
    </xf>
    <xf numFmtId="0" fontId="29" fillId="7" borderId="20" xfId="0" applyFont="1" applyFill="1" applyBorder="1"/>
    <xf numFmtId="0" fontId="29" fillId="7" borderId="1" xfId="0" applyFont="1" applyFill="1" applyBorder="1" applyAlignment="1">
      <alignment horizontal="center"/>
    </xf>
    <xf numFmtId="12" fontId="29" fillId="7" borderId="1" xfId="0" applyNumberFormat="1" applyFont="1" applyFill="1" applyBorder="1"/>
    <xf numFmtId="0" fontId="29" fillId="7" borderId="13" xfId="0" applyFont="1" applyFill="1" applyBorder="1" applyAlignment="1">
      <alignment horizontal="center"/>
    </xf>
    <xf numFmtId="0" fontId="33" fillId="0" borderId="20" xfId="0" applyFont="1" applyBorder="1" applyProtection="1">
      <protection locked="0"/>
    </xf>
    <xf numFmtId="164" fontId="33" fillId="0" borderId="20" xfId="0" applyNumberFormat="1" applyFont="1" applyBorder="1" applyProtection="1">
      <protection locked="0"/>
    </xf>
    <xf numFmtId="12" fontId="24" fillId="0" borderId="19" xfId="0" applyNumberFormat="1" applyFont="1" applyBorder="1" applyProtection="1">
      <protection locked="0"/>
    </xf>
    <xf numFmtId="0" fontId="35" fillId="0" borderId="0" xfId="0" applyFont="1" applyAlignment="1" applyProtection="1">
      <alignment horizontal="left"/>
      <protection locked="0"/>
    </xf>
    <xf numFmtId="0" fontId="24" fillId="0" borderId="1" xfId="0" applyFont="1" applyBorder="1" applyProtection="1">
      <protection locked="0"/>
    </xf>
    <xf numFmtId="0" fontId="44" fillId="0" borderId="0" xfId="0" applyFont="1" applyProtection="1">
      <protection locked="0"/>
    </xf>
    <xf numFmtId="0" fontId="29" fillId="0" borderId="20" xfId="0" applyFont="1" applyBorder="1" applyProtection="1">
      <protection locked="0"/>
    </xf>
    <xf numFmtId="0" fontId="24" fillId="0" borderId="19" xfId="0" applyFont="1" applyBorder="1" applyProtection="1">
      <protection locked="0"/>
    </xf>
    <xf numFmtId="8" fontId="29" fillId="3" borderId="14" xfId="1" applyFont="1" applyFill="1" applyBorder="1" applyAlignment="1" applyProtection="1">
      <alignment horizontal="right"/>
    </xf>
    <xf numFmtId="7" fontId="29" fillId="3" borderId="2" xfId="1" applyNumberFormat="1" applyFont="1" applyFill="1" applyBorder="1" applyAlignment="1" applyProtection="1">
      <alignment horizontal="right"/>
    </xf>
    <xf numFmtId="0" fontId="31" fillId="4" borderId="16" xfId="0" applyFont="1" applyFill="1" applyBorder="1" applyAlignment="1">
      <alignment horizontal="center" wrapText="1"/>
    </xf>
    <xf numFmtId="7" fontId="31" fillId="4" borderId="1" xfId="0" applyNumberFormat="1" applyFont="1" applyFill="1" applyBorder="1" applyAlignment="1">
      <alignment horizontal="center"/>
    </xf>
    <xf numFmtId="7" fontId="31" fillId="4" borderId="19" xfId="0" applyNumberFormat="1" applyFont="1" applyFill="1" applyBorder="1" applyAlignment="1">
      <alignment horizontal="center"/>
    </xf>
    <xf numFmtId="0" fontId="0" fillId="0" borderId="37" xfId="0" applyBorder="1"/>
    <xf numFmtId="0" fontId="15" fillId="0" borderId="0" xfId="0" applyFont="1" applyAlignment="1">
      <alignment horizontal="left"/>
    </xf>
    <xf numFmtId="0" fontId="48" fillId="0" borderId="0" xfId="0" applyFont="1"/>
    <xf numFmtId="0" fontId="2" fillId="0" borderId="0" xfId="10"/>
    <xf numFmtId="0" fontId="8" fillId="0" borderId="0" xfId="11" applyFont="1" applyAlignment="1">
      <alignment horizontal="left"/>
    </xf>
    <xf numFmtId="0" fontId="7" fillId="0" borderId="0" xfId="11" applyFont="1" applyAlignment="1">
      <alignment horizontal="left"/>
    </xf>
    <xf numFmtId="0" fontId="7" fillId="0" borderId="0" xfId="11" applyFont="1"/>
    <xf numFmtId="7" fontId="7" fillId="0" borderId="0" xfId="11" applyNumberFormat="1" applyFont="1" applyAlignment="1">
      <alignment horizontal="left"/>
    </xf>
    <xf numFmtId="0" fontId="10" fillId="0" borderId="0" xfId="11" applyFont="1" applyAlignment="1">
      <alignment horizontal="right"/>
    </xf>
    <xf numFmtId="0" fontId="47" fillId="0" borderId="0" xfId="11" applyFont="1"/>
    <xf numFmtId="7" fontId="7" fillId="0" borderId="0" xfId="11" applyNumberFormat="1" applyFont="1"/>
    <xf numFmtId="10" fontId="7" fillId="0" borderId="0" xfId="11" applyNumberFormat="1" applyFont="1" applyAlignment="1">
      <alignment horizontal="left"/>
    </xf>
    <xf numFmtId="44" fontId="7" fillId="0" borderId="1" xfId="11" quotePrefix="1" applyNumberFormat="1" applyFont="1" applyBorder="1"/>
    <xf numFmtId="10" fontId="7" fillId="0" borderId="0" xfId="11" applyNumberFormat="1" applyFont="1"/>
    <xf numFmtId="7" fontId="10" fillId="0" borderId="0" xfId="11" quotePrefix="1" applyNumberFormat="1" applyFont="1"/>
    <xf numFmtId="7" fontId="7" fillId="0" borderId="0" xfId="11" quotePrefix="1" applyNumberFormat="1" applyFont="1"/>
    <xf numFmtId="0" fontId="10" fillId="0" borderId="0" xfId="11" applyFont="1"/>
    <xf numFmtId="0" fontId="7" fillId="0" borderId="1" xfId="11" applyFont="1" applyBorder="1"/>
    <xf numFmtId="44" fontId="7" fillId="0" borderId="0" xfId="4" applyNumberFormat="1" applyFont="1" applyAlignment="1" applyProtection="1"/>
    <xf numFmtId="7" fontId="7" fillId="0" borderId="0" xfId="0" applyNumberFormat="1" applyFont="1"/>
    <xf numFmtId="0" fontId="48" fillId="0" borderId="0" xfId="10" applyFont="1"/>
    <xf numFmtId="15" fontId="7" fillId="0" borderId="0" xfId="0" applyNumberFormat="1" applyFont="1"/>
    <xf numFmtId="0" fontId="7" fillId="0" borderId="0" xfId="10" applyFont="1"/>
    <xf numFmtId="7" fontId="7" fillId="0" borderId="0" xfId="10" applyNumberFormat="1" applyFont="1"/>
    <xf numFmtId="0" fontId="50" fillId="0" borderId="0" xfId="0" applyFont="1"/>
    <xf numFmtId="1" fontId="48" fillId="0" borderId="0" xfId="0" applyNumberFormat="1" applyFont="1"/>
    <xf numFmtId="0" fontId="47" fillId="0" borderId="0" xfId="0" applyFont="1"/>
    <xf numFmtId="0" fontId="51" fillId="0" borderId="0" xfId="0" applyFont="1"/>
    <xf numFmtId="0" fontId="7" fillId="0" borderId="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52" fillId="0" borderId="0" xfId="0" applyFont="1"/>
    <xf numFmtId="44" fontId="53" fillId="0" borderId="0" xfId="4" quotePrefix="1" applyNumberFormat="1" applyFont="1" applyAlignment="1" applyProtection="1"/>
    <xf numFmtId="0" fontId="7" fillId="0" borderId="0" xfId="0" quotePrefix="1" applyFont="1"/>
    <xf numFmtId="0" fontId="54" fillId="0" borderId="0" xfId="0" applyFont="1"/>
    <xf numFmtId="7" fontId="7" fillId="0" borderId="1" xfId="11" applyNumberFormat="1" applyFont="1" applyBorder="1"/>
    <xf numFmtId="8" fontId="7" fillId="0" borderId="0" xfId="11" applyNumberFormat="1" applyFont="1"/>
    <xf numFmtId="1" fontId="10" fillId="0" borderId="0" xfId="0" applyNumberFormat="1" applyFont="1"/>
    <xf numFmtId="1" fontId="7" fillId="0" borderId="0" xfId="0" applyNumberFormat="1" applyFont="1"/>
    <xf numFmtId="0" fontId="55" fillId="0" borderId="0" xfId="11" applyFont="1"/>
    <xf numFmtId="0" fontId="24" fillId="0" borderId="0" xfId="0" applyFont="1" applyAlignment="1" applyProtection="1">
      <alignment horizontal="right"/>
      <protection locked="0"/>
    </xf>
    <xf numFmtId="0" fontId="29" fillId="0" borderId="0" xfId="0" applyFont="1" applyAlignment="1">
      <alignment horizontal="right"/>
    </xf>
    <xf numFmtId="12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0" fontId="57" fillId="0" borderId="30" xfId="0" applyFont="1" applyBorder="1" applyAlignment="1">
      <alignment horizontal="center" vertical="center"/>
    </xf>
    <xf numFmtId="0" fontId="30" fillId="7" borderId="0" xfId="0" applyFont="1" applyFill="1"/>
    <xf numFmtId="0" fontId="30" fillId="7" borderId="0" xfId="0" applyFont="1" applyFill="1" applyProtection="1">
      <protection locked="0"/>
    </xf>
    <xf numFmtId="1" fontId="29" fillId="7" borderId="0" xfId="0" applyNumberFormat="1" applyFont="1" applyFill="1" applyProtection="1">
      <protection locked="0"/>
    </xf>
    <xf numFmtId="0" fontId="29" fillId="7" borderId="0" xfId="0" applyFont="1" applyFill="1" applyProtection="1">
      <protection locked="0"/>
    </xf>
    <xf numFmtId="164" fontId="29" fillId="7" borderId="0" xfId="0" applyNumberFormat="1" applyFont="1" applyFill="1" applyProtection="1">
      <protection locked="0"/>
    </xf>
    <xf numFmtId="0" fontId="31" fillId="7" borderId="0" xfId="0" applyFont="1" applyFill="1"/>
    <xf numFmtId="0" fontId="32" fillId="7" borderId="0" xfId="0" applyFont="1" applyFill="1" applyAlignment="1">
      <alignment horizontal="right"/>
    </xf>
    <xf numFmtId="1" fontId="32" fillId="7" borderId="1" xfId="0" applyNumberFormat="1" applyFont="1" applyFill="1" applyBorder="1" applyProtection="1">
      <protection locked="0"/>
    </xf>
    <xf numFmtId="1" fontId="32" fillId="7" borderId="0" xfId="0" applyNumberFormat="1" applyFont="1" applyFill="1" applyProtection="1">
      <protection locked="0"/>
    </xf>
    <xf numFmtId="1" fontId="32" fillId="0" borderId="0" xfId="0" applyNumberFormat="1" applyFont="1" applyProtection="1">
      <protection locked="0"/>
    </xf>
    <xf numFmtId="1" fontId="32" fillId="7" borderId="0" xfId="0" applyNumberFormat="1" applyFont="1" applyFill="1" applyAlignment="1" applyProtection="1">
      <alignment horizontal="right"/>
      <protection locked="0"/>
    </xf>
    <xf numFmtId="14" fontId="24" fillId="0" borderId="0" xfId="0" applyNumberFormat="1" applyFont="1" applyProtection="1">
      <protection locked="0"/>
    </xf>
    <xf numFmtId="0" fontId="24" fillId="0" borderId="0" xfId="0" applyFont="1" applyAlignment="1" applyProtection="1">
      <alignment horizontal="left"/>
      <protection locked="0"/>
    </xf>
    <xf numFmtId="0" fontId="24" fillId="7" borderId="0" xfId="0" applyFont="1" applyFill="1" applyProtection="1">
      <protection locked="0"/>
    </xf>
    <xf numFmtId="1" fontId="32" fillId="0" borderId="1" xfId="0" applyNumberFormat="1" applyFont="1" applyBorder="1" applyProtection="1">
      <protection locked="0"/>
    </xf>
    <xf numFmtId="164" fontId="29" fillId="7" borderId="6" xfId="0" applyNumberFormat="1" applyFont="1" applyFill="1" applyBorder="1"/>
    <xf numFmtId="164" fontId="29" fillId="7" borderId="6" xfId="0" applyNumberFormat="1" applyFont="1" applyFill="1" applyBorder="1" applyAlignment="1">
      <alignment horizontal="center"/>
    </xf>
    <xf numFmtId="0" fontId="29" fillId="7" borderId="0" xfId="0" applyFont="1" applyFill="1"/>
    <xf numFmtId="0" fontId="29" fillId="7" borderId="5" xfId="0" applyFont="1" applyFill="1" applyBorder="1" applyAlignment="1">
      <alignment horizontal="center"/>
    </xf>
    <xf numFmtId="0" fontId="29" fillId="7" borderId="0" xfId="0" applyFont="1" applyFill="1" applyAlignment="1">
      <alignment horizontal="center"/>
    </xf>
    <xf numFmtId="12" fontId="29" fillId="7" borderId="0" xfId="0" applyNumberFormat="1" applyFont="1" applyFill="1"/>
    <xf numFmtId="0" fontId="29" fillId="0" borderId="5" xfId="0" applyFont="1" applyBorder="1"/>
    <xf numFmtId="0" fontId="29" fillId="0" borderId="5" xfId="0" applyFont="1" applyBorder="1" applyAlignment="1">
      <alignment horizontal="center"/>
    </xf>
    <xf numFmtId="12" fontId="29" fillId="0" borderId="5" xfId="0" applyNumberFormat="1" applyFont="1" applyBorder="1" applyAlignment="1">
      <alignment horizontal="center"/>
    </xf>
    <xf numFmtId="0" fontId="24" fillId="0" borderId="6" xfId="0" applyFont="1" applyBorder="1"/>
    <xf numFmtId="0" fontId="33" fillId="0" borderId="0" xfId="0" applyFont="1" applyProtection="1">
      <protection locked="0"/>
    </xf>
    <xf numFmtId="164" fontId="33" fillId="0" borderId="0" xfId="0" applyNumberFormat="1" applyFont="1" applyProtection="1">
      <protection locked="0"/>
    </xf>
    <xf numFmtId="12" fontId="24" fillId="0" borderId="0" xfId="0" applyNumberFormat="1" applyFont="1" applyProtection="1">
      <protection locked="0"/>
    </xf>
    <xf numFmtId="1" fontId="32" fillId="0" borderId="0" xfId="0" applyNumberFormat="1" applyFont="1" applyAlignment="1" applyProtection="1">
      <alignment horizontal="right"/>
      <protection locked="0"/>
    </xf>
    <xf numFmtId="1" fontId="24" fillId="0" borderId="20" xfId="0" applyNumberFormat="1" applyFont="1" applyBorder="1" applyProtection="1">
      <protection locked="0"/>
    </xf>
    <xf numFmtId="0" fontId="29" fillId="0" borderId="1" xfId="0" applyFont="1" applyBorder="1" applyAlignment="1" applyProtection="1">
      <alignment horizontal="right"/>
      <protection locked="0"/>
    </xf>
    <xf numFmtId="14" fontId="24" fillId="0" borderId="1" xfId="0" applyNumberFormat="1" applyFont="1" applyBorder="1" applyProtection="1">
      <protection locked="0"/>
    </xf>
    <xf numFmtId="0" fontId="35" fillId="0" borderId="0" xfId="0" applyFont="1" applyAlignment="1" applyProtection="1">
      <alignment horizontal="right"/>
      <protection locked="0"/>
    </xf>
    <xf numFmtId="1" fontId="24" fillId="0" borderId="30" xfId="0" applyNumberFormat="1" applyFont="1" applyBorder="1"/>
    <xf numFmtId="0" fontId="16" fillId="5" borderId="6" xfId="0" applyFont="1" applyFill="1" applyBorder="1" applyAlignment="1">
      <alignment horizontal="left"/>
    </xf>
    <xf numFmtId="167" fontId="0" fillId="0" borderId="1" xfId="0" applyNumberFormat="1" applyBorder="1"/>
    <xf numFmtId="0" fontId="22" fillId="0" borderId="1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5" xfId="0" applyFont="1" applyBorder="1" applyAlignment="1">
      <alignment horizontal="left"/>
    </xf>
    <xf numFmtId="0" fontId="37" fillId="0" borderId="18" xfId="0" applyFont="1" applyBorder="1" applyAlignment="1">
      <alignment horizontal="center"/>
    </xf>
    <xf numFmtId="1" fontId="32" fillId="0" borderId="1" xfId="0" applyNumberFormat="1" applyFont="1" applyBorder="1" applyAlignment="1" applyProtection="1">
      <alignment horizontal="left"/>
      <protection locked="0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164" fontId="0" fillId="0" borderId="30" xfId="0" applyNumberFormat="1" applyBorder="1"/>
    <xf numFmtId="1" fontId="29" fillId="7" borderId="13" xfId="0" applyNumberFormat="1" applyFont="1" applyFill="1" applyBorder="1" applyAlignment="1">
      <alignment horizontal="center"/>
    </xf>
    <xf numFmtId="167" fontId="29" fillId="7" borderId="6" xfId="0" applyNumberFormat="1" applyFont="1" applyFill="1" applyBorder="1"/>
    <xf numFmtId="167" fontId="29" fillId="7" borderId="6" xfId="0" applyNumberFormat="1" applyFont="1" applyFill="1" applyBorder="1" applyAlignment="1">
      <alignment horizontal="center"/>
    </xf>
    <xf numFmtId="2" fontId="29" fillId="11" borderId="31" xfId="0" applyNumberFormat="1" applyFont="1" applyFill="1" applyBorder="1"/>
    <xf numFmtId="2" fontId="29" fillId="3" borderId="16" xfId="0" applyNumberFormat="1" applyFont="1" applyFill="1" applyBorder="1"/>
    <xf numFmtId="2" fontId="29" fillId="3" borderId="2" xfId="0" applyNumberFormat="1" applyFont="1" applyFill="1" applyBorder="1"/>
    <xf numFmtId="2" fontId="29" fillId="11" borderId="6" xfId="0" applyNumberFormat="1" applyFont="1" applyFill="1" applyBorder="1" applyAlignment="1">
      <alignment horizontal="center"/>
    </xf>
    <xf numFmtId="2" fontId="29" fillId="10" borderId="31" xfId="0" applyNumberFormat="1" applyFont="1" applyFill="1" applyBorder="1"/>
    <xf numFmtId="2" fontId="29" fillId="0" borderId="34" xfId="0" applyNumberFormat="1" applyFont="1" applyBorder="1"/>
    <xf numFmtId="2" fontId="29" fillId="3" borderId="6" xfId="0" applyNumberFormat="1" applyFont="1" applyFill="1" applyBorder="1"/>
    <xf numFmtId="0" fontId="31" fillId="4" borderId="4" xfId="0" applyFont="1" applyFill="1" applyBorder="1" applyAlignment="1">
      <alignment wrapText="1"/>
    </xf>
    <xf numFmtId="0" fontId="31" fillId="4" borderId="15" xfId="0" applyFont="1" applyFill="1" applyBorder="1" applyAlignment="1">
      <alignment horizontal="center" wrapText="1"/>
    </xf>
    <xf numFmtId="0" fontId="31" fillId="8" borderId="4" xfId="0" applyFont="1" applyFill="1" applyBorder="1" applyAlignment="1">
      <alignment horizontal="center"/>
    </xf>
    <xf numFmtId="0" fontId="31" fillId="4" borderId="2" xfId="0" applyFont="1" applyFill="1" applyBorder="1"/>
    <xf numFmtId="0" fontId="31" fillId="8" borderId="2" xfId="0" applyFont="1" applyFill="1" applyBorder="1" applyAlignment="1">
      <alignment horizontal="center" wrapText="1"/>
    </xf>
    <xf numFmtId="2" fontId="29" fillId="11" borderId="2" xfId="0" applyNumberFormat="1" applyFont="1" applyFill="1" applyBorder="1"/>
    <xf numFmtId="12" fontId="0" fillId="0" borderId="0" xfId="0" applyNumberFormat="1" applyAlignment="1">
      <alignment horizontal="left"/>
    </xf>
    <xf numFmtId="0" fontId="23" fillId="0" borderId="0" xfId="0" applyFont="1" applyAlignment="1">
      <alignment horizontal="left"/>
    </xf>
    <xf numFmtId="167" fontId="0" fillId="0" borderId="6" xfId="0" applyNumberFormat="1" applyBorder="1"/>
    <xf numFmtId="0" fontId="0" fillId="0" borderId="1" xfId="0" applyBorder="1" applyAlignment="1">
      <alignment horizontal="left"/>
    </xf>
    <xf numFmtId="0" fontId="18" fillId="0" borderId="18" xfId="0" applyFont="1" applyBorder="1" applyAlignment="1">
      <alignment horizontal="left"/>
    </xf>
    <xf numFmtId="0" fontId="4" fillId="0" borderId="20" xfId="0" applyFont="1" applyBorder="1"/>
    <xf numFmtId="0" fontId="24" fillId="0" borderId="20" xfId="0" applyFont="1" applyBorder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14" fontId="29" fillId="0" borderId="1" xfId="0" applyNumberFormat="1" applyFont="1" applyBorder="1" applyProtection="1">
      <protection locked="0"/>
    </xf>
    <xf numFmtId="0" fontId="42" fillId="0" borderId="13" xfId="0" applyFont="1" applyBorder="1" applyAlignment="1" applyProtection="1">
      <alignment horizontal="left"/>
      <protection locked="0"/>
    </xf>
    <xf numFmtId="0" fontId="35" fillId="0" borderId="0" xfId="0" applyFont="1"/>
    <xf numFmtId="7" fontId="31" fillId="0" borderId="0" xfId="0" applyNumberFormat="1" applyFont="1" applyProtection="1">
      <protection locked="0"/>
    </xf>
    <xf numFmtId="7" fontId="32" fillId="0" borderId="0" xfId="0" applyNumberFormat="1" applyFont="1" applyProtection="1">
      <protection locked="0"/>
    </xf>
    <xf numFmtId="10" fontId="24" fillId="0" borderId="0" xfId="0" applyNumberFormat="1" applyFont="1" applyProtection="1">
      <protection locked="0"/>
    </xf>
    <xf numFmtId="165" fontId="24" fillId="0" borderId="0" xfId="0" applyNumberFormat="1" applyFont="1" applyProtection="1">
      <protection locked="0"/>
    </xf>
    <xf numFmtId="0" fontId="36" fillId="0" borderId="0" xfId="0" applyFont="1"/>
    <xf numFmtId="0" fontId="31" fillId="0" borderId="35" xfId="0" applyFont="1" applyBorder="1"/>
    <xf numFmtId="8" fontId="31" fillId="0" borderId="35" xfId="1" applyFont="1" applyFill="1" applyBorder="1" applyAlignment="1" applyProtection="1">
      <alignment horizontal="right"/>
    </xf>
    <xf numFmtId="0" fontId="60" fillId="0" borderId="0" xfId="0" applyFont="1"/>
    <xf numFmtId="0" fontId="24" fillId="0" borderId="1" xfId="0" applyFont="1" applyBorder="1" applyAlignment="1" applyProtection="1">
      <alignment horizontal="left"/>
      <protection locked="0"/>
    </xf>
    <xf numFmtId="0" fontId="29" fillId="0" borderId="30" xfId="0" applyFont="1" applyBorder="1"/>
    <xf numFmtId="164" fontId="35" fillId="0" borderId="0" xfId="0" applyNumberFormat="1" applyFont="1" applyAlignment="1" applyProtection="1">
      <alignment horizontal="right"/>
      <protection locked="0"/>
    </xf>
    <xf numFmtId="0" fontId="62" fillId="0" borderId="5" xfId="0" applyFont="1" applyBorder="1" applyAlignment="1">
      <alignment horizontal="right"/>
    </xf>
    <xf numFmtId="0" fontId="62" fillId="0" borderId="19" xfId="0" applyFont="1" applyBorder="1" applyAlignment="1">
      <alignment horizontal="right"/>
    </xf>
    <xf numFmtId="1" fontId="29" fillId="0" borderId="20" xfId="0" applyNumberFormat="1" applyFont="1" applyBorder="1" applyProtection="1">
      <protection locked="0"/>
    </xf>
    <xf numFmtId="8" fontId="31" fillId="0" borderId="0" xfId="1" applyFont="1" applyFill="1" applyBorder="1" applyAlignment="1" applyProtection="1">
      <alignment horizontal="left"/>
    </xf>
    <xf numFmtId="8" fontId="31" fillId="3" borderId="30" xfId="1" applyFont="1" applyFill="1" applyBorder="1" applyAlignment="1" applyProtection="1">
      <alignment horizontal="right"/>
    </xf>
    <xf numFmtId="8" fontId="31" fillId="3" borderId="41" xfId="1" applyFont="1" applyFill="1" applyBorder="1" applyAlignment="1" applyProtection="1">
      <alignment horizontal="right"/>
    </xf>
    <xf numFmtId="0" fontId="31" fillId="0" borderId="30" xfId="0" applyFont="1" applyBorder="1"/>
    <xf numFmtId="0" fontId="31" fillId="0" borderId="40" xfId="0" applyFont="1" applyBorder="1" applyAlignment="1">
      <alignment horizontal="left"/>
    </xf>
    <xf numFmtId="8" fontId="29" fillId="0" borderId="0" xfId="0" applyNumberFormat="1" applyFont="1"/>
    <xf numFmtId="168" fontId="61" fillId="0" borderId="0" xfId="0" applyNumberFormat="1" applyFont="1"/>
    <xf numFmtId="168" fontId="60" fillId="0" borderId="0" xfId="0" applyNumberFormat="1" applyFont="1"/>
    <xf numFmtId="168" fontId="24" fillId="0" borderId="6" xfId="0" applyNumberFormat="1" applyFont="1" applyBorder="1"/>
    <xf numFmtId="168" fontId="24" fillId="0" borderId="11" xfId="1" applyNumberFormat="1" applyFont="1" applyFill="1" applyBorder="1" applyAlignment="1" applyProtection="1">
      <alignment horizontal="right"/>
      <protection locked="0"/>
    </xf>
    <xf numFmtId="8" fontId="24" fillId="7" borderId="11" xfId="1" applyFont="1" applyFill="1" applyBorder="1" applyAlignment="1" applyProtection="1">
      <alignment horizontal="right"/>
      <protection locked="0"/>
    </xf>
    <xf numFmtId="7" fontId="63" fillId="0" borderId="0" xfId="0" applyNumberFormat="1" applyFont="1"/>
    <xf numFmtId="8" fontId="36" fillId="3" borderId="39" xfId="1" applyFont="1" applyFill="1" applyBorder="1" applyAlignment="1" applyProtection="1">
      <alignment horizontal="right"/>
    </xf>
    <xf numFmtId="0" fontId="31" fillId="0" borderId="42" xfId="0" applyFont="1" applyBorder="1"/>
    <xf numFmtId="8" fontId="24" fillId="3" borderId="39" xfId="1" applyFont="1" applyFill="1" applyBorder="1" applyAlignment="1" applyProtection="1">
      <alignment horizontal="right"/>
    </xf>
    <xf numFmtId="0" fontId="36" fillId="0" borderId="31" xfId="0" applyFont="1" applyBorder="1"/>
    <xf numFmtId="4" fontId="29" fillId="0" borderId="1" xfId="0" applyNumberFormat="1" applyFont="1" applyBorder="1"/>
    <xf numFmtId="7" fontId="32" fillId="0" borderId="6" xfId="0" applyNumberFormat="1" applyFont="1" applyBorder="1"/>
    <xf numFmtId="7" fontId="29" fillId="0" borderId="0" xfId="0" applyNumberFormat="1" applyFont="1" applyAlignment="1">
      <alignment horizontal="right"/>
    </xf>
    <xf numFmtId="0" fontId="64" fillId="6" borderId="6" xfId="0" applyFont="1" applyFill="1" applyBorder="1"/>
    <xf numFmtId="1" fontId="0" fillId="0" borderId="0" xfId="0" applyNumberFormat="1"/>
    <xf numFmtId="0" fontId="65" fillId="0" borderId="19" xfId="0" applyFont="1" applyBorder="1"/>
    <xf numFmtId="0" fontId="7" fillId="0" borderId="0" xfId="11" applyFont="1" applyAlignment="1">
      <alignment horizontal="left"/>
    </xf>
    <xf numFmtId="0" fontId="59" fillId="0" borderId="0" xfId="0" applyFont="1" applyAlignment="1">
      <alignment horizontal="center"/>
    </xf>
    <xf numFmtId="14" fontId="29" fillId="0" borderId="1" xfId="0" applyNumberFormat="1" applyFont="1" applyBorder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wrapText="1"/>
    </xf>
    <xf numFmtId="0" fontId="33" fillId="4" borderId="2" xfId="0" applyFont="1" applyFill="1" applyBorder="1" applyAlignment="1">
      <alignment horizontal="center" wrapText="1"/>
    </xf>
    <xf numFmtId="0" fontId="49" fillId="0" borderId="0" xfId="0" applyFont="1" applyAlignment="1" applyProtection="1">
      <alignment horizontal="center"/>
      <protection locked="0"/>
    </xf>
    <xf numFmtId="0" fontId="33" fillId="4" borderId="4" xfId="0" applyFont="1" applyFill="1" applyBorder="1" applyAlignment="1">
      <alignment horizontal="center" textRotation="255" readingOrder="1"/>
    </xf>
    <xf numFmtId="0" fontId="33" fillId="4" borderId="2" xfId="0" applyFont="1" applyFill="1" applyBorder="1" applyAlignment="1">
      <alignment horizontal="center" textRotation="255" readingOrder="1"/>
    </xf>
    <xf numFmtId="0" fontId="61" fillId="0" borderId="12" xfId="0" applyFont="1" applyBorder="1" applyAlignment="1">
      <alignment horizontal="center" wrapText="1"/>
    </xf>
    <xf numFmtId="0" fontId="61" fillId="0" borderId="5" xfId="0" applyFont="1" applyBorder="1" applyAlignment="1">
      <alignment horizontal="center" wrapText="1"/>
    </xf>
    <xf numFmtId="0" fontId="61" fillId="0" borderId="15" xfId="0" applyFont="1" applyBorder="1" applyAlignment="1">
      <alignment horizontal="center" wrapText="1"/>
    </xf>
    <xf numFmtId="0" fontId="61" fillId="0" borderId="13" xfId="0" applyFont="1" applyBorder="1" applyAlignment="1">
      <alignment horizontal="center" wrapText="1"/>
    </xf>
    <xf numFmtId="0" fontId="61" fillId="0" borderId="1" xfId="0" applyFont="1" applyBorder="1" applyAlignment="1">
      <alignment horizontal="center" wrapText="1"/>
    </xf>
    <xf numFmtId="0" fontId="61" fillId="0" borderId="16" xfId="0" applyFont="1" applyBorder="1" applyAlignment="1">
      <alignment horizontal="center" wrapText="1"/>
    </xf>
    <xf numFmtId="1" fontId="29" fillId="0" borderId="20" xfId="0" applyNumberFormat="1" applyFont="1" applyBorder="1" applyAlignment="1" applyProtection="1">
      <alignment horizontal="left"/>
      <protection locked="0"/>
    </xf>
    <xf numFmtId="0" fontId="29" fillId="0" borderId="20" xfId="0" applyFont="1" applyBorder="1" applyAlignment="1" applyProtection="1">
      <alignment horizontal="left"/>
      <protection locked="0"/>
    </xf>
    <xf numFmtId="0" fontId="24" fillId="0" borderId="20" xfId="0" applyFont="1" applyBorder="1" applyAlignment="1" applyProtection="1">
      <alignment horizontal="left"/>
      <protection locked="0"/>
    </xf>
    <xf numFmtId="0" fontId="13" fillId="0" borderId="20" xfId="4" applyBorder="1" applyAlignment="1" applyProtection="1">
      <alignment horizontal="left"/>
    </xf>
    <xf numFmtId="0" fontId="29" fillId="0" borderId="20" xfId="0" applyFont="1" applyBorder="1" applyAlignment="1">
      <alignment horizontal="left"/>
    </xf>
    <xf numFmtId="0" fontId="60" fillId="0" borderId="0" xfId="0" applyFont="1"/>
    <xf numFmtId="0" fontId="29" fillId="0" borderId="0" xfId="0" applyFont="1" applyAlignment="1">
      <alignment horizontal="center"/>
    </xf>
    <xf numFmtId="0" fontId="31" fillId="0" borderId="18" xfId="0" applyFont="1" applyBorder="1" applyAlignment="1" applyProtection="1">
      <alignment horizontal="right"/>
      <protection locked="0"/>
    </xf>
    <xf numFmtId="0" fontId="31" fillId="0" borderId="19" xfId="0" applyFont="1" applyBorder="1" applyAlignment="1" applyProtection="1">
      <alignment horizontal="right"/>
      <protection locked="0"/>
    </xf>
    <xf numFmtId="16" fontId="24" fillId="0" borderId="1" xfId="0" applyNumberFormat="1" applyFont="1" applyBorder="1" applyAlignment="1" applyProtection="1">
      <alignment horizontal="left"/>
      <protection locked="0"/>
    </xf>
    <xf numFmtId="0" fontId="29" fillId="0" borderId="1" xfId="0" applyFont="1" applyBorder="1" applyAlignment="1" applyProtection="1">
      <alignment horizontal="center"/>
      <protection locked="0"/>
    </xf>
    <xf numFmtId="0" fontId="29" fillId="0" borderId="17" xfId="0" applyFont="1" applyBorder="1" applyAlignment="1" applyProtection="1">
      <alignment horizontal="center"/>
      <protection locked="0"/>
    </xf>
    <xf numFmtId="0" fontId="24" fillId="0" borderId="0" xfId="0" applyFont="1" applyAlignment="1">
      <alignment horizontal="center" wrapText="1"/>
    </xf>
    <xf numFmtId="0" fontId="61" fillId="0" borderId="0" xfId="0" applyFont="1"/>
    <xf numFmtId="0" fontId="4" fillId="0" borderId="20" xfId="0" applyFont="1" applyBorder="1" applyAlignment="1">
      <alignment horizontal="left"/>
    </xf>
    <xf numFmtId="0" fontId="46" fillId="0" borderId="4" xfId="0" applyFont="1" applyBorder="1" applyAlignment="1">
      <alignment horizontal="center" vertical="center" wrapText="1"/>
    </xf>
    <xf numFmtId="0" fontId="46" fillId="0" borderId="2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37" fillId="0" borderId="0" xfId="0" applyFont="1" applyAlignment="1">
      <alignment horizontal="center" wrapText="1"/>
    </xf>
    <xf numFmtId="0" fontId="37" fillId="0" borderId="17" xfId="0" applyFont="1" applyBorder="1" applyAlignment="1">
      <alignment horizontal="center" wrapText="1"/>
    </xf>
    <xf numFmtId="0" fontId="16" fillId="0" borderId="0" xfId="0" applyFont="1" applyAlignment="1">
      <alignment horizontal="center" wrapText="1"/>
    </xf>
    <xf numFmtId="0" fontId="16" fillId="0" borderId="17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24" fillId="0" borderId="1" xfId="0" applyFont="1" applyBorder="1" applyAlignment="1" applyProtection="1">
      <alignment horizontal="left"/>
      <protection locked="0"/>
    </xf>
    <xf numFmtId="12" fontId="56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57" fillId="0" borderId="32" xfId="0" applyFont="1" applyBorder="1" applyAlignment="1" applyProtection="1">
      <alignment horizontal="center"/>
      <protection locked="0"/>
    </xf>
    <xf numFmtId="0" fontId="57" fillId="0" borderId="36" xfId="0" applyFont="1" applyBorder="1" applyAlignment="1" applyProtection="1">
      <alignment horizontal="center"/>
      <protection locked="0"/>
    </xf>
    <xf numFmtId="0" fontId="57" fillId="0" borderId="22" xfId="0" applyFont="1" applyBorder="1" applyAlignment="1" applyProtection="1">
      <alignment horizontal="center"/>
      <protection locked="0"/>
    </xf>
    <xf numFmtId="0" fontId="57" fillId="0" borderId="39" xfId="0" applyFont="1" applyBorder="1" applyAlignment="1" applyProtection="1">
      <alignment horizontal="center"/>
      <protection locked="0"/>
    </xf>
    <xf numFmtId="12" fontId="58" fillId="0" borderId="0" xfId="0" applyNumberFormat="1" applyFont="1" applyAlignment="1">
      <alignment horizontal="center"/>
    </xf>
    <xf numFmtId="0" fontId="7" fillId="0" borderId="17" xfId="8" applyBorder="1" applyAlignment="1">
      <alignment horizontal="center" wrapText="1"/>
    </xf>
    <xf numFmtId="0" fontId="64" fillId="0" borderId="32" xfId="0" applyFont="1" applyBorder="1" applyAlignment="1" applyProtection="1">
      <alignment horizontal="center"/>
      <protection locked="0"/>
    </xf>
    <xf numFmtId="0" fontId="64" fillId="0" borderId="36" xfId="0" applyFont="1" applyBorder="1" applyAlignment="1" applyProtection="1">
      <alignment horizontal="center"/>
      <protection locked="0"/>
    </xf>
    <xf numFmtId="0" fontId="64" fillId="0" borderId="22" xfId="0" applyFont="1" applyBorder="1" applyAlignment="1" applyProtection="1">
      <alignment horizontal="center"/>
      <protection locked="0"/>
    </xf>
    <xf numFmtId="0" fontId="64" fillId="0" borderId="39" xfId="0" applyFont="1" applyBorder="1" applyAlignment="1" applyProtection="1">
      <alignment horizontal="center"/>
      <protection locked="0"/>
    </xf>
    <xf numFmtId="14" fontId="32" fillId="0" borderId="1" xfId="0" applyNumberFormat="1" applyFont="1" applyBorder="1" applyAlignment="1" applyProtection="1">
      <alignment horizontal="center"/>
      <protection locked="0"/>
    </xf>
  </cellXfs>
  <cellStyles count="12">
    <cellStyle name="Currency" xfId="1" builtinId="4"/>
    <cellStyle name="Currency 2" xfId="2" xr:uid="{00000000-0005-0000-0000-000001000000}"/>
    <cellStyle name="Currency 3" xfId="3" xr:uid="{00000000-0005-0000-0000-000002000000}"/>
    <cellStyle name="Currency 4" xfId="9" xr:uid="{5E4219A6-1996-4860-B0BE-438F875A3BD3}"/>
    <cellStyle name="Hyperlink" xfId="4" builtinId="8"/>
    <cellStyle name="Normal" xfId="0" builtinId="0"/>
    <cellStyle name="Normal 2" xfId="5" xr:uid="{00000000-0005-0000-0000-000005000000}"/>
    <cellStyle name="Normal 3" xfId="6" xr:uid="{00000000-0005-0000-0000-000006000000}"/>
    <cellStyle name="Normal 4" xfId="8" xr:uid="{1609E26B-520D-494E-BB35-313A4A91F706}"/>
    <cellStyle name="Normal_Brigham City 12 23 Harper Remodel Drapes" xfId="10" xr:uid="{061D4255-5554-4F1A-BD8D-FE0708E25E74}"/>
    <cellStyle name="Normal_Quote-Ron Luke" xfId="11" xr:uid="{36613EF9-6978-4981-A447-AF68568D8F0E}"/>
    <cellStyle name="Normal_Sunburst calculations" xfId="7" xr:uid="{00000000-0005-0000-0000-000007000000}"/>
  </cellStyles>
  <dxfs count="8"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  <dxf>
      <fill>
        <patternFill>
          <bgColor theme="5" tint="0.79998168889431442"/>
        </patternFill>
      </fill>
      <border>
        <left style="dashDotDot">
          <color rgb="FF7030A0"/>
        </left>
        <right style="dashDotDot">
          <color rgb="FF7030A0"/>
        </right>
        <top style="dashDotDot">
          <color rgb="FF7030A0"/>
        </top>
        <bottom style="dashDotDot">
          <color rgb="FF7030A0"/>
        </bottom>
        <vertical/>
        <horizontal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5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4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externalLink" Target="externalLinks/externalLink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R$34" lockText="1" noThreeD="1"/>
</file>

<file path=xl/ctrlProps/ctrlProp10.xml><?xml version="1.0" encoding="utf-8"?>
<formControlPr xmlns="http://schemas.microsoft.com/office/spreadsheetml/2009/9/main" objectType="GBox" noThreeD="1"/>
</file>

<file path=xl/ctrlProps/ctrlProp11.xml><?xml version="1.0" encoding="utf-8"?>
<formControlPr xmlns="http://schemas.microsoft.com/office/spreadsheetml/2009/9/main" objectType="CheckBox" checked="Checked" fmlaLink="$R$38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GBox" noThreeD="1"/>
</file>

<file path=xl/ctrlProps/ctrlProp16.xml><?xml version="1.0" encoding="utf-8"?>
<formControlPr xmlns="http://schemas.microsoft.com/office/spreadsheetml/2009/9/main" objectType="Radio" checked="Checked" firstButton="1" fmlaLink="$R$34" lockText="1" noThreeD="1"/>
</file>

<file path=xl/ctrlProps/ctrlProp17.xml><?xml version="1.0" encoding="utf-8"?>
<formControlPr xmlns="http://schemas.microsoft.com/office/spreadsheetml/2009/9/main" objectType="GBox" noThreeD="1"/>
</file>

<file path=xl/ctrlProps/ctrlProp18.xml><?xml version="1.0" encoding="utf-8"?>
<formControlPr xmlns="http://schemas.microsoft.com/office/spreadsheetml/2009/9/main" objectType="CheckBox" checked="Checked" fmlaLink="$R$38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GBox" noThreeD="1"/>
</file>

<file path=xl/ctrlProps/ctrlProp23.xml><?xml version="1.0" encoding="utf-8"?>
<formControlPr xmlns="http://schemas.microsoft.com/office/spreadsheetml/2009/9/main" objectType="Radio" checked="Checked" firstButton="1" fmlaLink="Worksheet!$R$34" lockText="1" noThreeD="1"/>
</file>

<file path=xl/ctrlProps/ctrlProp24.xml><?xml version="1.0" encoding="utf-8"?>
<formControlPr xmlns="http://schemas.microsoft.com/office/spreadsheetml/2009/9/main" objectType="GBox" noThreeD="1"/>
</file>

<file path=xl/ctrlProps/ctrlProp25.xml><?xml version="1.0" encoding="utf-8"?>
<formControlPr xmlns="http://schemas.microsoft.com/office/spreadsheetml/2009/9/main" objectType="CheckBox" checked="Checked" fmlaLink="$R$38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CheckBox" checked="Checked" fmlaLink="$R$38" lockText="1" noThreeD="1"/>
</file>

<file path=xl/ctrlProps/ctrlProp30.xml><?xml version="1.0" encoding="utf-8"?>
<formControlPr xmlns="http://schemas.microsoft.com/office/spreadsheetml/2009/9/main" objectType="Radio" checked="Checked" firstButton="1" fmlaLink="$R$34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CheckBox" checked="Checked" fmlaLink="$R$38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GBox" noThreeD="1"/>
</file>

<file path=xl/ctrlProps/ctrlProp37.xml><?xml version="1.0" encoding="utf-8"?>
<formControlPr xmlns="http://schemas.microsoft.com/office/spreadsheetml/2009/9/main" objectType="CheckBox" fmlaLink="Worksheet!$AT$36" lockText="1"/>
</file>

<file path=xl/ctrlProps/ctrlProp38.xml><?xml version="1.0" encoding="utf-8"?>
<formControlPr xmlns="http://schemas.microsoft.com/office/spreadsheetml/2009/9/main" objectType="Radio" checked="Checked" firstButton="1" fmlaLink="$R$34" lockText="1" noThreeD="1"/>
</file>

<file path=xl/ctrlProps/ctrlProp39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CheckBox" checked="Checked" fmlaLink="$R$38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GBox" noThreeD="1"/>
</file>

<file path=xl/ctrlProps/ctrlProp45.xml><?xml version="1.0" encoding="utf-8"?>
<formControlPr xmlns="http://schemas.microsoft.com/office/spreadsheetml/2009/9/main" objectType="Radio" checked="Checked" firstButton="1" fmlaLink="$R$34" lockText="1" noThreeD="1"/>
</file>

<file path=xl/ctrlProps/ctrlProp46.xml><?xml version="1.0" encoding="utf-8"?>
<formControlPr xmlns="http://schemas.microsoft.com/office/spreadsheetml/2009/9/main" objectType="GBox" noThreeD="1"/>
</file>

<file path=xl/ctrlProps/ctrlProp47.xml><?xml version="1.0" encoding="utf-8"?>
<formControlPr xmlns="http://schemas.microsoft.com/office/spreadsheetml/2009/9/main" objectType="CheckBox" checked="Checked" fmlaLink="$R$38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GBox" noThreeD="1"/>
</file>

<file path=xl/ctrlProps/ctrlProp52.xml><?xml version="1.0" encoding="utf-8"?>
<formControlPr xmlns="http://schemas.microsoft.com/office/spreadsheetml/2009/9/main" objectType="Radio" checked="Checked" firstButton="1" fmlaLink="$R$34" lockText="1" noThreeD="1"/>
</file>

<file path=xl/ctrlProps/ctrlProp53.xml><?xml version="1.0" encoding="utf-8"?>
<formControlPr xmlns="http://schemas.microsoft.com/office/spreadsheetml/2009/9/main" objectType="GBox" noThreeD="1"/>
</file>

<file path=xl/ctrlProps/ctrlProp54.xml><?xml version="1.0" encoding="utf-8"?>
<formControlPr xmlns="http://schemas.microsoft.com/office/spreadsheetml/2009/9/main" objectType="CheckBox" checked="Checked" fmlaLink="$R$38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GBox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CheckBox" fmlaLink="$AT$36" lockText="1"/>
</file>

<file path=xl/ctrlProps/ctrlProp9.xml><?xml version="1.0" encoding="utf-8"?>
<formControlPr xmlns="http://schemas.microsoft.com/office/spreadsheetml/2009/9/main" objectType="Radio" checked="Checked" firstButton="1" fmlaLink="$R$34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476249</xdr:colOff>
      <xdr:row>0</xdr:row>
      <xdr:rowOff>0</xdr:rowOff>
    </xdr:from>
    <xdr:to>
      <xdr:col>8</xdr:col>
      <xdr:colOff>714375</xdr:colOff>
      <xdr:row>6</xdr:row>
      <xdr:rowOff>152725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49" y="0"/>
          <a:ext cx="5819776" cy="1124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358019</xdr:colOff>
      <xdr:row>1</xdr:row>
      <xdr:rowOff>76200</xdr:rowOff>
    </xdr:to>
    <xdr:pic>
      <xdr:nvPicPr>
        <xdr:cNvPr id="1132" name="Picture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147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050" name="Option Butto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058" name="Group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1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059" name="Check Box 11" hidden="1">
              <a:extLst>
                <a:ext uri="{63B3BB69-23CF-44E3-9099-C40C66FF867C}">
                  <a14:compatExt spid="_x0000_s2059"/>
                </a:ext>
                <a:ext uri="{FF2B5EF4-FFF2-40B4-BE49-F238E27FC236}">
                  <a16:creationId xmlns:a16="http://schemas.microsoft.com/office/drawing/2014/main" id="{00000000-0008-0000-0100-00000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067" name="Option Butto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1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068" name="Option Button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1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069" name="Option Button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1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070" name="Group Box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1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1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9217" name="Option 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9218" name="Group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9219" name="Check Box 3" hidden="1">
              <a:extLst>
                <a:ext uri="{63B3BB69-23CF-44E3-9099-C40C66FF867C}">
                  <a14:compatExt spid="_x0000_s9219"/>
                </a:ext>
                <a:ext uri="{FF2B5EF4-FFF2-40B4-BE49-F238E27FC236}">
                  <a16:creationId xmlns:a16="http://schemas.microsoft.com/office/drawing/2014/main" id="{00000000-0008-0000-0300-000003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9220" name="Option Button 4" hidden="1">
              <a:extLst>
                <a:ext uri="{63B3BB69-23CF-44E3-9099-C40C66FF867C}">
                  <a14:compatExt spid="_x0000_s9220"/>
                </a:ext>
                <a:ext uri="{FF2B5EF4-FFF2-40B4-BE49-F238E27FC236}">
                  <a16:creationId xmlns:a16="http://schemas.microsoft.com/office/drawing/2014/main" id="{00000000-0008-0000-0300-000004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9221" name="Option Button 5" hidden="1">
              <a:extLst>
                <a:ext uri="{63B3BB69-23CF-44E3-9099-C40C66FF867C}">
                  <a14:compatExt spid="_x0000_s9221"/>
                </a:ext>
                <a:ext uri="{FF2B5EF4-FFF2-40B4-BE49-F238E27FC236}">
                  <a16:creationId xmlns:a16="http://schemas.microsoft.com/office/drawing/2014/main" id="{00000000-0008-0000-0300-000005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9222" name="Option Button 6" hidden="1">
              <a:extLst>
                <a:ext uri="{63B3BB69-23CF-44E3-9099-C40C66FF867C}">
                  <a14:compatExt spid="_x0000_s9222"/>
                </a:ext>
                <a:ext uri="{FF2B5EF4-FFF2-40B4-BE49-F238E27FC236}">
                  <a16:creationId xmlns:a16="http://schemas.microsoft.com/office/drawing/2014/main" id="{00000000-0008-0000-0300-000006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9223" name="Group Box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id="{00000000-0008-0000-0300-000007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2289" name="Option 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4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2290" name="Group Box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4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2291" name="Check Box 3" hidden="1">
              <a:extLst>
                <a:ext uri="{63B3BB69-23CF-44E3-9099-C40C66FF867C}">
                  <a14:compatExt spid="_x0000_s12291"/>
                </a:ext>
                <a:ext uri="{FF2B5EF4-FFF2-40B4-BE49-F238E27FC236}">
                  <a16:creationId xmlns:a16="http://schemas.microsoft.com/office/drawing/2014/main" id="{00000000-0008-0000-0400-000003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2292" name="Option Button 4" hidden="1">
              <a:extLst>
                <a:ext uri="{63B3BB69-23CF-44E3-9099-C40C66FF867C}">
                  <a14:compatExt spid="_x0000_s12292"/>
                </a:ext>
                <a:ext uri="{FF2B5EF4-FFF2-40B4-BE49-F238E27FC236}">
                  <a16:creationId xmlns:a16="http://schemas.microsoft.com/office/drawing/2014/main" id="{00000000-0008-0000-0400-000004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2293" name="Option Button 5" hidden="1">
              <a:extLst>
                <a:ext uri="{63B3BB69-23CF-44E3-9099-C40C66FF867C}">
                  <a14:compatExt spid="_x0000_s12293"/>
                </a:ext>
                <a:ext uri="{FF2B5EF4-FFF2-40B4-BE49-F238E27FC236}">
                  <a16:creationId xmlns:a16="http://schemas.microsoft.com/office/drawing/2014/main" id="{00000000-0008-0000-0400-000005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2294" name="Option Button 6" hidden="1">
              <a:extLst>
                <a:ext uri="{63B3BB69-23CF-44E3-9099-C40C66FF867C}">
                  <a14:compatExt spid="_x0000_s12294"/>
                </a:ext>
                <a:ext uri="{FF2B5EF4-FFF2-40B4-BE49-F238E27FC236}">
                  <a16:creationId xmlns:a16="http://schemas.microsoft.com/office/drawing/2014/main" id="{00000000-0008-0000-0400-000006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2295" name="Group Box 7" hidden="1">
              <a:extLst>
                <a:ext uri="{63B3BB69-23CF-44E3-9099-C40C66FF867C}">
                  <a14:compatExt spid="_x0000_s12295"/>
                </a:ext>
                <a:ext uri="{FF2B5EF4-FFF2-40B4-BE49-F238E27FC236}">
                  <a16:creationId xmlns:a16="http://schemas.microsoft.com/office/drawing/2014/main" id="{00000000-0008-0000-0400-000007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14337" name="Option 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14338" name="Group Box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14339" name="Check Box 3" hidden="1">
              <a:extLst>
                <a:ext uri="{63B3BB69-23CF-44E3-9099-C40C66FF867C}">
                  <a14:compatExt spid="_x0000_s14339"/>
                </a:ext>
                <a:ext uri="{FF2B5EF4-FFF2-40B4-BE49-F238E27FC236}">
                  <a16:creationId xmlns:a16="http://schemas.microsoft.com/office/drawing/2014/main" id="{00000000-0008-0000-0500-000003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14340" name="Option Button 4" hidden="1">
              <a:extLst>
                <a:ext uri="{63B3BB69-23CF-44E3-9099-C40C66FF867C}">
                  <a14:compatExt spid="_x0000_s14340"/>
                </a:ext>
                <a:ext uri="{FF2B5EF4-FFF2-40B4-BE49-F238E27FC236}">
                  <a16:creationId xmlns:a16="http://schemas.microsoft.com/office/drawing/2014/main" id="{00000000-0008-0000-0500-000004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14341" name="Option Button 5" hidden="1">
              <a:extLst>
                <a:ext uri="{63B3BB69-23CF-44E3-9099-C40C66FF867C}">
                  <a14:compatExt spid="_x0000_s14341"/>
                </a:ext>
                <a:ext uri="{FF2B5EF4-FFF2-40B4-BE49-F238E27FC236}">
                  <a16:creationId xmlns:a16="http://schemas.microsoft.com/office/drawing/2014/main" id="{00000000-0008-0000-0500-000005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14342" name="Option Button 6" hidden="1">
              <a:extLst>
                <a:ext uri="{63B3BB69-23CF-44E3-9099-C40C66FF867C}">
                  <a14:compatExt spid="_x0000_s14342"/>
                </a:ext>
                <a:ext uri="{FF2B5EF4-FFF2-40B4-BE49-F238E27FC236}">
                  <a16:creationId xmlns:a16="http://schemas.microsoft.com/office/drawing/2014/main" id="{00000000-0008-0000-0500-000006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14343" name="Group Box 7" hidden="1">
              <a:extLst>
                <a:ext uri="{63B3BB69-23CF-44E3-9099-C40C66FF867C}">
                  <a14:compatExt spid="_x0000_s14343"/>
                </a:ext>
                <a:ext uri="{FF2B5EF4-FFF2-40B4-BE49-F238E27FC236}">
                  <a16:creationId xmlns:a16="http://schemas.microsoft.com/office/drawing/2014/main" id="{00000000-0008-0000-0500-000007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9</xdr:col>
      <xdr:colOff>338175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47067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85725</xdr:colOff>
          <xdr:row>32</xdr:row>
          <xdr:rowOff>28575</xdr:rowOff>
        </xdr:to>
        <xdr:sp macro="" textlink="">
          <xdr:nvSpPr>
            <xdr:cNvPr id="29697" name="Option Button 1" hidden="1">
              <a:extLst>
                <a:ext uri="{63B3BB69-23CF-44E3-9099-C40C66FF867C}">
                  <a14:compatExt spid="_x0000_s29697"/>
                </a:ext>
                <a:ext uri="{FF2B5EF4-FFF2-40B4-BE49-F238E27FC236}">
                  <a16:creationId xmlns:a16="http://schemas.microsoft.com/office/drawing/2014/main" id="{00000000-0008-0000-0700-00000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295275</xdr:colOff>
          <xdr:row>37</xdr:row>
          <xdr:rowOff>123825</xdr:rowOff>
        </xdr:to>
        <xdr:sp macro="" textlink="">
          <xdr:nvSpPr>
            <xdr:cNvPr id="29698" name="Group Box 2" hidden="1">
              <a:extLst>
                <a:ext uri="{63B3BB69-23CF-44E3-9099-C40C66FF867C}">
                  <a14:compatExt spid="_x0000_s29698"/>
                </a:ext>
                <a:ext uri="{FF2B5EF4-FFF2-40B4-BE49-F238E27FC236}">
                  <a16:creationId xmlns:a16="http://schemas.microsoft.com/office/drawing/2014/main" id="{00000000-0008-0000-0700-00000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485775</xdr:colOff>
          <xdr:row>37</xdr:row>
          <xdr:rowOff>85725</xdr:rowOff>
        </xdr:to>
        <xdr:sp macro="" textlink="">
          <xdr:nvSpPr>
            <xdr:cNvPr id="29699" name="Check Box 3" hidden="1">
              <a:extLst>
                <a:ext uri="{63B3BB69-23CF-44E3-9099-C40C66FF867C}">
                  <a14:compatExt spid="_x0000_s29699"/>
                </a:ext>
                <a:ext uri="{FF2B5EF4-FFF2-40B4-BE49-F238E27FC236}">
                  <a16:creationId xmlns:a16="http://schemas.microsoft.com/office/drawing/2014/main" id="{00000000-0008-0000-0700-00000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85725</xdr:colOff>
          <xdr:row>33</xdr:row>
          <xdr:rowOff>38100</xdr:rowOff>
        </xdr:to>
        <xdr:sp macro="" textlink="">
          <xdr:nvSpPr>
            <xdr:cNvPr id="29700" name="Option Button 4" hidden="1">
              <a:extLst>
                <a:ext uri="{63B3BB69-23CF-44E3-9099-C40C66FF867C}">
                  <a14:compatExt spid="_x0000_s29700"/>
                </a:ext>
                <a:ext uri="{FF2B5EF4-FFF2-40B4-BE49-F238E27FC236}">
                  <a16:creationId xmlns:a16="http://schemas.microsoft.com/office/drawing/2014/main" id="{00000000-0008-0000-0700-00000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85725</xdr:colOff>
          <xdr:row>34</xdr:row>
          <xdr:rowOff>28575</xdr:rowOff>
        </xdr:to>
        <xdr:sp macro="" textlink="">
          <xdr:nvSpPr>
            <xdr:cNvPr id="29701" name="Option Button 5" hidden="1">
              <a:extLst>
                <a:ext uri="{63B3BB69-23CF-44E3-9099-C40C66FF867C}">
                  <a14:compatExt spid="_x0000_s29701"/>
                </a:ext>
                <a:ext uri="{FF2B5EF4-FFF2-40B4-BE49-F238E27FC236}">
                  <a16:creationId xmlns:a16="http://schemas.microsoft.com/office/drawing/2014/main" id="{00000000-0008-0000-0700-000005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66675</xdr:colOff>
          <xdr:row>35</xdr:row>
          <xdr:rowOff>28575</xdr:rowOff>
        </xdr:to>
        <xdr:sp macro="" textlink="">
          <xdr:nvSpPr>
            <xdr:cNvPr id="29702" name="Option Button 6" hidden="1">
              <a:extLst>
                <a:ext uri="{63B3BB69-23CF-44E3-9099-C40C66FF867C}">
                  <a14:compatExt spid="_x0000_s29702"/>
                </a:ext>
                <a:ext uri="{FF2B5EF4-FFF2-40B4-BE49-F238E27FC236}">
                  <a16:creationId xmlns:a16="http://schemas.microsoft.com/office/drawing/2014/main" id="{00000000-0008-0000-0700-00000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342900</xdr:colOff>
          <xdr:row>35</xdr:row>
          <xdr:rowOff>123825</xdr:rowOff>
        </xdr:to>
        <xdr:sp macro="" textlink="">
          <xdr:nvSpPr>
            <xdr:cNvPr id="29703" name="Group Box 7" hidden="1">
              <a:extLst>
                <a:ext uri="{63B3BB69-23CF-44E3-9099-C40C66FF867C}">
                  <a14:compatExt spid="_x0000_s29703"/>
                </a:ext>
                <a:ext uri="{FF2B5EF4-FFF2-40B4-BE49-F238E27FC236}">
                  <a16:creationId xmlns:a16="http://schemas.microsoft.com/office/drawing/2014/main" id="{00000000-0008-0000-0700-00000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228600</xdr:colOff>
          <xdr:row>35</xdr:row>
          <xdr:rowOff>95250</xdr:rowOff>
        </xdr:from>
        <xdr:to>
          <xdr:col>37</xdr:col>
          <xdr:colOff>314325</xdr:colOff>
          <xdr:row>36</xdr:row>
          <xdr:rowOff>152400</xdr:rowOff>
        </xdr:to>
        <xdr:sp macro="" textlink="">
          <xdr:nvSpPr>
            <xdr:cNvPr id="29704" name="Check Box 8" hidden="1">
              <a:extLst>
                <a:ext uri="{63B3BB69-23CF-44E3-9099-C40C66FF867C}">
                  <a14:compatExt spid="_x0000_s29704"/>
                </a:ext>
                <a:ext uri="{FF2B5EF4-FFF2-40B4-BE49-F238E27FC236}">
                  <a16:creationId xmlns:a16="http://schemas.microsoft.com/office/drawing/2014/main" id="{00000000-0008-0000-0700-00000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Tax material only</a:t>
              </a:r>
            </a:p>
          </xdr:txBody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0721" name="Option Button 1" hidden="1">
              <a:extLst>
                <a:ext uri="{63B3BB69-23CF-44E3-9099-C40C66FF867C}">
                  <a14:compatExt spid="_x0000_s30721"/>
                </a:ext>
                <a:ext uri="{FF2B5EF4-FFF2-40B4-BE49-F238E27FC236}">
                  <a16:creationId xmlns:a16="http://schemas.microsoft.com/office/drawing/2014/main" id="{00000000-0008-0000-0900-000001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0722" name="Group Box 2" hidden="1">
              <a:extLst>
                <a:ext uri="{63B3BB69-23CF-44E3-9099-C40C66FF867C}">
                  <a14:compatExt spid="_x0000_s30722"/>
                </a:ext>
                <a:ext uri="{FF2B5EF4-FFF2-40B4-BE49-F238E27FC236}">
                  <a16:creationId xmlns:a16="http://schemas.microsoft.com/office/drawing/2014/main" id="{00000000-0008-0000-0900-000002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0723" name="Check Box 3" hidden="1">
              <a:extLst>
                <a:ext uri="{63B3BB69-23CF-44E3-9099-C40C66FF867C}">
                  <a14:compatExt spid="_x0000_s30723"/>
                </a:ext>
                <a:ext uri="{FF2B5EF4-FFF2-40B4-BE49-F238E27FC236}">
                  <a16:creationId xmlns:a16="http://schemas.microsoft.com/office/drawing/2014/main" id="{00000000-0008-0000-0900-000003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0724" name="Option Button 4" hidden="1">
              <a:extLst>
                <a:ext uri="{63B3BB69-23CF-44E3-9099-C40C66FF867C}">
                  <a14:compatExt spid="_x0000_s30724"/>
                </a:ext>
                <a:ext uri="{FF2B5EF4-FFF2-40B4-BE49-F238E27FC236}">
                  <a16:creationId xmlns:a16="http://schemas.microsoft.com/office/drawing/2014/main" id="{00000000-0008-0000-0900-000004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0725" name="Option Button 5" hidden="1">
              <a:extLst>
                <a:ext uri="{63B3BB69-23CF-44E3-9099-C40C66FF867C}">
                  <a14:compatExt spid="_x0000_s30725"/>
                </a:ext>
                <a:ext uri="{FF2B5EF4-FFF2-40B4-BE49-F238E27FC236}">
                  <a16:creationId xmlns:a16="http://schemas.microsoft.com/office/drawing/2014/main" id="{00000000-0008-0000-0900-000005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0726" name="Option Button 6" hidden="1">
              <a:extLst>
                <a:ext uri="{63B3BB69-23CF-44E3-9099-C40C66FF867C}">
                  <a14:compatExt spid="_x0000_s30726"/>
                </a:ext>
                <a:ext uri="{FF2B5EF4-FFF2-40B4-BE49-F238E27FC236}">
                  <a16:creationId xmlns:a16="http://schemas.microsoft.com/office/drawing/2014/main" id="{00000000-0008-0000-0900-000006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0727" name="Group Box 7" hidden="1">
              <a:extLst>
                <a:ext uri="{63B3BB69-23CF-44E3-9099-C40C66FF867C}">
                  <a14:compatExt spid="_x0000_s30727"/>
                </a:ext>
                <a:ext uri="{FF2B5EF4-FFF2-40B4-BE49-F238E27FC236}">
                  <a16:creationId xmlns:a16="http://schemas.microsoft.com/office/drawing/2014/main" id="{00000000-0008-0000-0900-0000077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172652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405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1745" name="Option Button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A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1746" name="Group Box 2" hidden="1">
              <a:extLst>
                <a:ext uri="{63B3BB69-23CF-44E3-9099-C40C66FF867C}">
                  <a14:compatExt spid="_x0000_s31746"/>
                </a:ext>
                <a:ext uri="{FF2B5EF4-FFF2-40B4-BE49-F238E27FC236}">
                  <a16:creationId xmlns:a16="http://schemas.microsoft.com/office/drawing/2014/main" id="{00000000-0008-0000-0A00-000002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1747" name="Check Box 3" hidden="1">
              <a:extLst>
                <a:ext uri="{63B3BB69-23CF-44E3-9099-C40C66FF867C}">
                  <a14:compatExt spid="_x0000_s31747"/>
                </a:ext>
                <a:ext uri="{FF2B5EF4-FFF2-40B4-BE49-F238E27FC236}">
                  <a16:creationId xmlns:a16="http://schemas.microsoft.com/office/drawing/2014/main" id="{00000000-0008-0000-0A00-000003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1748" name="Option Button 4" hidden="1">
              <a:extLst>
                <a:ext uri="{63B3BB69-23CF-44E3-9099-C40C66FF867C}">
                  <a14:compatExt spid="_x0000_s31748"/>
                </a:ext>
                <a:ext uri="{FF2B5EF4-FFF2-40B4-BE49-F238E27FC236}">
                  <a16:creationId xmlns:a16="http://schemas.microsoft.com/office/drawing/2014/main" id="{00000000-0008-0000-0A00-000004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1749" name="Option Button 5" hidden="1">
              <a:extLst>
                <a:ext uri="{63B3BB69-23CF-44E3-9099-C40C66FF867C}">
                  <a14:compatExt spid="_x0000_s31749"/>
                </a:ext>
                <a:ext uri="{FF2B5EF4-FFF2-40B4-BE49-F238E27FC236}">
                  <a16:creationId xmlns:a16="http://schemas.microsoft.com/office/drawing/2014/main" id="{00000000-0008-0000-0A00-000005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1750" name="Option Button 6" hidden="1">
              <a:extLst>
                <a:ext uri="{63B3BB69-23CF-44E3-9099-C40C66FF867C}">
                  <a14:compatExt spid="_x0000_s31750"/>
                </a:ext>
                <a:ext uri="{FF2B5EF4-FFF2-40B4-BE49-F238E27FC236}">
                  <a16:creationId xmlns:a16="http://schemas.microsoft.com/office/drawing/2014/main" id="{00000000-0008-0000-0A00-00000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1751" name="Group Box 7" hidden="1">
              <a:extLst>
                <a:ext uri="{63B3BB69-23CF-44E3-9099-C40C66FF867C}">
                  <a14:compatExt spid="_x0000_s31751"/>
                </a:ext>
                <a:ext uri="{FF2B5EF4-FFF2-40B4-BE49-F238E27FC236}">
                  <a16:creationId xmlns:a16="http://schemas.microsoft.com/office/drawing/2014/main" id="{00000000-0008-0000-0A00-000007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257175</xdr:colOff>
      <xdr:row>0</xdr:row>
      <xdr:rowOff>0</xdr:rowOff>
    </xdr:from>
    <xdr:to>
      <xdr:col>10</xdr:col>
      <xdr:colOff>168842</xdr:colOff>
      <xdr:row>1</xdr:row>
      <xdr:rowOff>76200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0"/>
          <a:ext cx="3750242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31</xdr:row>
          <xdr:rowOff>38100</xdr:rowOff>
        </xdr:from>
        <xdr:to>
          <xdr:col>19</xdr:col>
          <xdr:colOff>28575</xdr:colOff>
          <xdr:row>32</xdr:row>
          <xdr:rowOff>28575</xdr:rowOff>
        </xdr:to>
        <xdr:sp macro="" textlink="">
          <xdr:nvSpPr>
            <xdr:cNvPr id="32769" name="Option Button 1" hidden="1">
              <a:extLst>
                <a:ext uri="{63B3BB69-23CF-44E3-9099-C40C66FF867C}">
                  <a14:compatExt spid="_x0000_s32769"/>
                </a:ext>
                <a:ext uri="{FF2B5EF4-FFF2-40B4-BE49-F238E27FC236}">
                  <a16:creationId xmlns:a16="http://schemas.microsoft.com/office/drawing/2014/main" id="{00000000-0008-0000-0B00-000001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Install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57150</xdr:colOff>
          <xdr:row>36</xdr:row>
          <xdr:rowOff>0</xdr:rowOff>
        </xdr:from>
        <xdr:to>
          <xdr:col>18</xdr:col>
          <xdr:colOff>247650</xdr:colOff>
          <xdr:row>37</xdr:row>
          <xdr:rowOff>123825</xdr:rowOff>
        </xdr:to>
        <xdr:sp macro="" textlink="">
          <xdr:nvSpPr>
            <xdr:cNvPr id="32770" name="Group Box 2" hidden="1">
              <a:extLst>
                <a:ext uri="{63B3BB69-23CF-44E3-9099-C40C66FF867C}">
                  <a14:compatExt spid="_x0000_s32770"/>
                </a:ext>
                <a:ext uri="{FF2B5EF4-FFF2-40B4-BE49-F238E27FC236}">
                  <a16:creationId xmlns:a16="http://schemas.microsoft.com/office/drawing/2014/main" id="{00000000-0008-0000-0B00-000002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152400</xdr:colOff>
          <xdr:row>36</xdr:row>
          <xdr:rowOff>76200</xdr:rowOff>
        </xdr:from>
        <xdr:to>
          <xdr:col>18</xdr:col>
          <xdr:colOff>438150</xdr:colOff>
          <xdr:row>37</xdr:row>
          <xdr:rowOff>85725</xdr:rowOff>
        </xdr:to>
        <xdr:sp macro="" textlink="">
          <xdr:nvSpPr>
            <xdr:cNvPr id="32771" name="Check Box 3" hidden="1">
              <a:extLst>
                <a:ext uri="{63B3BB69-23CF-44E3-9099-C40C66FF867C}">
                  <a14:compatExt spid="_x0000_s32771"/>
                </a:ext>
                <a:ext uri="{FF2B5EF4-FFF2-40B4-BE49-F238E27FC236}">
                  <a16:creationId xmlns:a16="http://schemas.microsoft.com/office/drawing/2014/main" id="{00000000-0008-0000-0B00-000003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Pinned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32</xdr:row>
          <xdr:rowOff>38100</xdr:rowOff>
        </xdr:from>
        <xdr:to>
          <xdr:col>19</xdr:col>
          <xdr:colOff>28575</xdr:colOff>
          <xdr:row>33</xdr:row>
          <xdr:rowOff>38100</xdr:rowOff>
        </xdr:to>
        <xdr:sp macro="" textlink="">
          <xdr:nvSpPr>
            <xdr:cNvPr id="32772" name="Option Button 4" hidden="1">
              <a:extLst>
                <a:ext uri="{63B3BB69-23CF-44E3-9099-C40C66FF867C}">
                  <a14:compatExt spid="_x0000_s32772"/>
                </a:ext>
                <a:ext uri="{FF2B5EF4-FFF2-40B4-BE49-F238E27FC236}">
                  <a16:creationId xmlns:a16="http://schemas.microsoft.com/office/drawing/2014/main" id="{00000000-0008-0000-0B00-000004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Ship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133350</xdr:colOff>
          <xdr:row>33</xdr:row>
          <xdr:rowOff>47625</xdr:rowOff>
        </xdr:from>
        <xdr:to>
          <xdr:col>19</xdr:col>
          <xdr:colOff>28575</xdr:colOff>
          <xdr:row>34</xdr:row>
          <xdr:rowOff>28575</xdr:rowOff>
        </xdr:to>
        <xdr:sp macro="" textlink="">
          <xdr:nvSpPr>
            <xdr:cNvPr id="32773" name="Option Button 5" hidden="1">
              <a:extLst>
                <a:ext uri="{63B3BB69-23CF-44E3-9099-C40C66FF867C}">
                  <a14:compatExt spid="_x0000_s32773"/>
                </a:ext>
                <a:ext uri="{FF2B5EF4-FFF2-40B4-BE49-F238E27FC236}">
                  <a16:creationId xmlns:a16="http://schemas.microsoft.com/office/drawing/2014/main" id="{00000000-0008-0000-0B00-000005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Deliver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123825</xdr:colOff>
          <xdr:row>34</xdr:row>
          <xdr:rowOff>47625</xdr:rowOff>
        </xdr:from>
        <xdr:to>
          <xdr:col>19</xdr:col>
          <xdr:colOff>9525</xdr:colOff>
          <xdr:row>35</xdr:row>
          <xdr:rowOff>28575</xdr:rowOff>
        </xdr:to>
        <xdr:sp macro="" textlink="">
          <xdr:nvSpPr>
            <xdr:cNvPr id="32774" name="Option Button 6" hidden="1">
              <a:extLst>
                <a:ext uri="{63B3BB69-23CF-44E3-9099-C40C66FF867C}">
                  <a14:compatExt spid="_x0000_s32774"/>
                </a:ext>
                <a:ext uri="{FF2B5EF4-FFF2-40B4-BE49-F238E27FC236}">
                  <a16:creationId xmlns:a16="http://schemas.microsoft.com/office/drawing/2014/main" id="{00000000-0008-0000-0B00-000006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Will Call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76200</xdr:colOff>
          <xdr:row>30</xdr:row>
          <xdr:rowOff>161925</xdr:rowOff>
        </xdr:from>
        <xdr:to>
          <xdr:col>18</xdr:col>
          <xdr:colOff>285750</xdr:colOff>
          <xdr:row>35</xdr:row>
          <xdr:rowOff>123825</xdr:rowOff>
        </xdr:to>
        <xdr:sp macro="" textlink="">
          <xdr:nvSpPr>
            <xdr:cNvPr id="32775" name="Group Box 7" hidden="1">
              <a:extLst>
                <a:ext uri="{63B3BB69-23CF-44E3-9099-C40C66FF867C}">
                  <a14:compatExt spid="_x0000_s32775"/>
                </a:ext>
                <a:ext uri="{FF2B5EF4-FFF2-40B4-BE49-F238E27FC236}">
                  <a16:creationId xmlns:a16="http://schemas.microsoft.com/office/drawing/2014/main" id="{00000000-0008-0000-0B00-0000078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Disposition</a:t>
              </a:r>
            </a:p>
          </xdr:txBody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Users\Reno\Documents\Charlene's%20stuff\TEST%20%20MANUAL%20MASTER%20Roller%20Shades%20Costshee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Bountiful%20FM%20Group\Bldg%20%2311%20Stage%20201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ORMS\01%20%20Costsheets\Roller%20shade%20Worksheets\Copy%204%20MANUAL%20MASTER%20Roller%20Shades%20Costsheet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Server\FM%20Groups\Utah%20FM%20Groups\Taylorsville%20UT%20FM\Building%20%2312%20201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LTONSERVERBOX\All%20Access\Quotations\OPEN%20BUILDER%20&amp;%20%20MISC.%20BIDS\jobs%20bid%202010\Goldman%20Sachs\222%20S%20Main%207-14%20Floor%20Manual%20Shades%20&amp;%20Shade%20Quot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microsoft.com/office/2006/relationships/xlExternalLinkPath/xlPathMissing" Target="~NEW~MOTORIZED%20MASTER%20Roller%20Shades%20(2021)2.01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Server\Quotations\Church%20Quotes%20-%20ALL%20CHURCH%20JOBS\JLL\Texas\WO%23J5121027-00234.01Windcrest%20Stage%205-14-2025.xlsx" TargetMode="External"/><Relationship Id="rId1" Type="http://schemas.openxmlformats.org/officeDocument/2006/relationships/externalLinkPath" Target="WO%23J5121027-00234.01Windcrest%20Stage%205-14-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Worksheet (2)"/>
      <sheetName val="Tickets (2)"/>
      <sheetName val="Tube Cut (2)"/>
      <sheetName val="Fascia &amp; Package Labels"/>
      <sheetName val="Factor update"/>
      <sheetName val="Alteration Pg 1"/>
      <sheetName val="Alteration Tickets"/>
    </sheetNames>
    <sheetDataSet>
      <sheetData sheetId="0" refreshError="1"/>
      <sheetData sheetId="1" refreshError="1"/>
      <sheetData sheetId="2" refreshError="1">
        <row r="2">
          <cell r="AB2">
            <v>1234</v>
          </cell>
        </row>
        <row r="4">
          <cell r="AB4">
            <v>1.7999999999999999E-2</v>
          </cell>
        </row>
        <row r="5">
          <cell r="C5" t="str">
            <v>Test</v>
          </cell>
          <cell r="J5" t="str">
            <v>Test</v>
          </cell>
          <cell r="AB5">
            <v>13</v>
          </cell>
        </row>
        <row r="6">
          <cell r="AB6">
            <v>8</v>
          </cell>
        </row>
        <row r="7">
          <cell r="AB7">
            <v>8</v>
          </cell>
        </row>
      </sheetData>
      <sheetData sheetId="3" refreshError="1"/>
      <sheetData sheetId="4" refreshError="1"/>
      <sheetData sheetId="5" refreshError="1">
        <row r="4">
          <cell r="AB4">
            <v>1.7999999999999999E-2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Stage worksheet"/>
      <sheetName val="page 2"/>
    </sheetNames>
    <sheetDataSet>
      <sheetData sheetId="0"/>
      <sheetData sheetId="1">
        <row r="4">
          <cell r="T4">
            <v>12</v>
          </cell>
        </row>
        <row r="5">
          <cell r="T5">
            <v>15</v>
          </cell>
        </row>
        <row r="6">
          <cell r="T6">
            <v>38</v>
          </cell>
        </row>
        <row r="7">
          <cell r="T7">
            <v>17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Worksheet"/>
      <sheetName val="Tickets"/>
      <sheetName val="Tube Cut"/>
      <sheetName val="Fascia &amp; Package Labels"/>
      <sheetName val="Alteration Pg 1"/>
      <sheetName val="Alteration Tickets"/>
      <sheetName val="Worksheet 2"/>
      <sheetName val="Tickets 2"/>
      <sheetName val="Tube Cut 2"/>
      <sheetName val="Factor list"/>
      <sheetName val="Alteration Pg 2"/>
      <sheetName val="Alteration Tickets (2)"/>
    </sheetNames>
    <sheetDataSet>
      <sheetData sheetId="0"/>
      <sheetData sheetId="1">
        <row r="4">
          <cell r="Y4">
            <v>1.7999999999999999E-2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"/>
      <sheetName val="master page"/>
      <sheetName val="master page 2"/>
      <sheetName val="standard worksheet"/>
      <sheetName val="Sunburst calculator"/>
    </sheetNames>
    <sheetDataSet>
      <sheetData sheetId="0"/>
      <sheetData sheetId="1">
        <row r="8">
          <cell r="AG8">
            <v>15</v>
          </cell>
          <cell r="AH8">
            <v>20</v>
          </cell>
        </row>
        <row r="34">
          <cell r="AH34">
            <v>1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ENQTE"/>
      <sheetName val="Worksheet"/>
      <sheetName val="Tickets"/>
      <sheetName val="Tube Cut"/>
      <sheetName val="Worksheet 2"/>
      <sheetName val="Tickets 2"/>
      <sheetName val="Tube Cut 2"/>
      <sheetName val="Factor list"/>
      <sheetName val="Break Out"/>
    </sheetNames>
    <sheetDataSet>
      <sheetData sheetId="0"/>
      <sheetData sheetId="1" refreshError="1">
        <row r="5">
          <cell r="J5" t="str">
            <v>Goldman Sachs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eneral_Bid"/>
      <sheetName val="Data Sheet"/>
      <sheetName val="Worksheet"/>
      <sheetName val="Tickets"/>
      <sheetName val="Tube Cut"/>
      <sheetName val="Shade Shop Copy"/>
      <sheetName val="Installation Copy"/>
      <sheetName val="Package Labels"/>
      <sheetName val="Fascia Labels"/>
      <sheetName val="Factor update"/>
      <sheetName val="Fascia &amp; Package Labels"/>
    </sheetNames>
    <sheetDataSet>
      <sheetData sheetId="0"/>
      <sheetData sheetId="1"/>
      <sheetData sheetId="2">
        <row r="5">
          <cell r="AE5">
            <v>23</v>
          </cell>
        </row>
        <row r="39">
          <cell r="AC39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Quote"/>
      <sheetName val="Stage worksheet"/>
      <sheetName val="Stage Copy"/>
      <sheetName val="Installation Copy"/>
      <sheetName val="Shipping Copy"/>
      <sheetName val="Tickets"/>
      <sheetName val="Stentorian Data"/>
      <sheetName val="page 2"/>
    </sheetNames>
    <sheetDataSet>
      <sheetData sheetId="0"/>
      <sheetData sheetId="1">
        <row r="38">
          <cell r="AD38">
            <v>7024.0033333333331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eil@coltoninc.com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2.xml"/><Relationship Id="rId3" Type="http://schemas.openxmlformats.org/officeDocument/2006/relationships/vmlDrawing" Target="../drawings/vmlDrawing6.vml"/><Relationship Id="rId7" Type="http://schemas.openxmlformats.org/officeDocument/2006/relationships/ctrlProp" Target="../ctrlProps/ctrlProp4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40.xml"/><Relationship Id="rId5" Type="http://schemas.openxmlformats.org/officeDocument/2006/relationships/ctrlProp" Target="../ctrlProps/ctrlProp39.xml"/><Relationship Id="rId10" Type="http://schemas.openxmlformats.org/officeDocument/2006/relationships/ctrlProp" Target="../ctrlProps/ctrlProp44.xml"/><Relationship Id="rId4" Type="http://schemas.openxmlformats.org/officeDocument/2006/relationships/ctrlProp" Target="../ctrlProps/ctrlProp38.xml"/><Relationship Id="rId9" Type="http://schemas.openxmlformats.org/officeDocument/2006/relationships/ctrlProp" Target="../ctrlProps/ctrlProp43.xm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9.xml"/><Relationship Id="rId3" Type="http://schemas.openxmlformats.org/officeDocument/2006/relationships/vmlDrawing" Target="../drawings/vmlDrawing7.vml"/><Relationship Id="rId7" Type="http://schemas.openxmlformats.org/officeDocument/2006/relationships/ctrlProp" Target="../ctrlProps/ctrlProp48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1.bin"/><Relationship Id="rId6" Type="http://schemas.openxmlformats.org/officeDocument/2006/relationships/ctrlProp" Target="../ctrlProps/ctrlProp47.xml"/><Relationship Id="rId5" Type="http://schemas.openxmlformats.org/officeDocument/2006/relationships/ctrlProp" Target="../ctrlProps/ctrlProp46.xml"/><Relationship Id="rId10" Type="http://schemas.openxmlformats.org/officeDocument/2006/relationships/ctrlProp" Target="../ctrlProps/ctrlProp51.xml"/><Relationship Id="rId4" Type="http://schemas.openxmlformats.org/officeDocument/2006/relationships/ctrlProp" Target="../ctrlProps/ctrlProp45.xml"/><Relationship Id="rId9" Type="http://schemas.openxmlformats.org/officeDocument/2006/relationships/ctrlProp" Target="../ctrlProps/ctrlProp50.xm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6.xml"/><Relationship Id="rId3" Type="http://schemas.openxmlformats.org/officeDocument/2006/relationships/vmlDrawing" Target="../drawings/vmlDrawing8.vml"/><Relationship Id="rId7" Type="http://schemas.openxmlformats.org/officeDocument/2006/relationships/ctrlProp" Target="../ctrlProps/ctrlProp55.x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2.bin"/><Relationship Id="rId6" Type="http://schemas.openxmlformats.org/officeDocument/2006/relationships/ctrlProp" Target="../ctrlProps/ctrlProp54.xml"/><Relationship Id="rId5" Type="http://schemas.openxmlformats.org/officeDocument/2006/relationships/ctrlProp" Target="../ctrlProps/ctrlProp53.xml"/><Relationship Id="rId10" Type="http://schemas.openxmlformats.org/officeDocument/2006/relationships/ctrlProp" Target="../ctrlProps/ctrlProp58.xml"/><Relationship Id="rId4" Type="http://schemas.openxmlformats.org/officeDocument/2006/relationships/ctrlProp" Target="../ctrlProps/ctrlProp52.xml"/><Relationship Id="rId9" Type="http://schemas.openxmlformats.org/officeDocument/2006/relationships/ctrlProp" Target="../ctrlProps/ctrlProp5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drawing" Target="../drawings/drawing2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3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11.xml"/><Relationship Id="rId5" Type="http://schemas.openxmlformats.org/officeDocument/2006/relationships/ctrlProp" Target="../ctrlProps/ctrlProp10.xml"/><Relationship Id="rId10" Type="http://schemas.openxmlformats.org/officeDocument/2006/relationships/ctrlProp" Target="../ctrlProps/ctrlProp15.xml"/><Relationship Id="rId4" Type="http://schemas.openxmlformats.org/officeDocument/2006/relationships/ctrlProp" Target="../ctrlProps/ctrlProp9.xml"/><Relationship Id="rId9" Type="http://schemas.openxmlformats.org/officeDocument/2006/relationships/ctrlProp" Target="../ctrlProps/ctrlProp14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0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9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8.xml"/><Relationship Id="rId5" Type="http://schemas.openxmlformats.org/officeDocument/2006/relationships/ctrlProp" Target="../ctrlProps/ctrlProp17.xml"/><Relationship Id="rId10" Type="http://schemas.openxmlformats.org/officeDocument/2006/relationships/ctrlProp" Target="../ctrlProps/ctrlProp22.xml"/><Relationship Id="rId4" Type="http://schemas.openxmlformats.org/officeDocument/2006/relationships/ctrlProp" Target="../ctrlProps/ctrlProp16.xml"/><Relationship Id="rId9" Type="http://schemas.openxmlformats.org/officeDocument/2006/relationships/ctrlProp" Target="../ctrlProps/ctrlProp21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7.xml"/><Relationship Id="rId3" Type="http://schemas.openxmlformats.org/officeDocument/2006/relationships/vmlDrawing" Target="../drawings/vmlDrawing4.vml"/><Relationship Id="rId7" Type="http://schemas.openxmlformats.org/officeDocument/2006/relationships/ctrlProp" Target="../ctrlProps/ctrlProp26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25.xml"/><Relationship Id="rId5" Type="http://schemas.openxmlformats.org/officeDocument/2006/relationships/ctrlProp" Target="../ctrlProps/ctrlProp24.xml"/><Relationship Id="rId10" Type="http://schemas.openxmlformats.org/officeDocument/2006/relationships/ctrlProp" Target="../ctrlProps/ctrlProp29.xml"/><Relationship Id="rId4" Type="http://schemas.openxmlformats.org/officeDocument/2006/relationships/ctrlProp" Target="../ctrlProps/ctrlProp23.xml"/><Relationship Id="rId9" Type="http://schemas.openxmlformats.org/officeDocument/2006/relationships/ctrlProp" Target="../ctrlProps/ctrlProp28.x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34.xml"/><Relationship Id="rId3" Type="http://schemas.openxmlformats.org/officeDocument/2006/relationships/vmlDrawing" Target="../drawings/vmlDrawing5.vml"/><Relationship Id="rId7" Type="http://schemas.openxmlformats.org/officeDocument/2006/relationships/ctrlProp" Target="../ctrlProps/ctrlProp33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32.xml"/><Relationship Id="rId11" Type="http://schemas.openxmlformats.org/officeDocument/2006/relationships/ctrlProp" Target="../ctrlProps/ctrlProp37.xml"/><Relationship Id="rId5" Type="http://schemas.openxmlformats.org/officeDocument/2006/relationships/ctrlProp" Target="../ctrlProps/ctrlProp31.xml"/><Relationship Id="rId10" Type="http://schemas.openxmlformats.org/officeDocument/2006/relationships/ctrlProp" Target="../ctrlProps/ctrlProp36.xml"/><Relationship Id="rId4" Type="http://schemas.openxmlformats.org/officeDocument/2006/relationships/ctrlProp" Target="../ctrlProps/ctrlProp30.xml"/><Relationship Id="rId9" Type="http://schemas.openxmlformats.org/officeDocument/2006/relationships/ctrlProp" Target="../ctrlProps/ctrlProp3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7:K115"/>
  <sheetViews>
    <sheetView showGridLines="0" view="pageBreakPreview" zoomScaleNormal="100" zoomScaleSheetLayoutView="100" workbookViewId="0">
      <selection activeCell="B10" sqref="B10"/>
    </sheetView>
  </sheetViews>
  <sheetFormatPr defaultRowHeight="12.75"/>
  <cols>
    <col min="1" max="1" width="10.42578125" customWidth="1"/>
    <col min="2" max="2" width="12.140625" customWidth="1"/>
    <col min="3" max="3" width="11.85546875" customWidth="1"/>
    <col min="4" max="4" width="13.7109375" customWidth="1"/>
    <col min="5" max="5" width="7.42578125" customWidth="1"/>
    <col min="6" max="6" width="8.140625" customWidth="1"/>
    <col min="7" max="7" width="5.140625" customWidth="1"/>
    <col min="8" max="8" width="14.85546875" customWidth="1"/>
    <col min="9" max="9" width="14.140625" customWidth="1"/>
    <col min="10" max="10" width="5.85546875" style="2" customWidth="1"/>
  </cols>
  <sheetData>
    <row r="7" spans="1:11">
      <c r="A7" s="16"/>
    </row>
    <row r="8" spans="1:11" ht="36.6" customHeight="1">
      <c r="D8" s="265" t="s">
        <v>93</v>
      </c>
    </row>
    <row r="9" spans="1:11" ht="11.1" customHeight="1">
      <c r="D9" s="17"/>
    </row>
    <row r="10" spans="1:11" s="267" customFormat="1" ht="14.25">
      <c r="A10" s="284" t="s">
        <v>3</v>
      </c>
      <c r="B10" s="285"/>
      <c r="C10" s="286"/>
      <c r="D10" s="286"/>
      <c r="E10" s="286"/>
      <c r="F10" s="286"/>
      <c r="G10" s="287"/>
      <c r="H10" s="286"/>
      <c r="I10" s="286"/>
      <c r="J10" s="286"/>
    </row>
    <row r="11" spans="1:11" s="267" customFormat="1" ht="14.25">
      <c r="A11" s="284"/>
      <c r="B11" s="286"/>
      <c r="C11" s="286"/>
      <c r="D11" s="286"/>
      <c r="E11" s="268" t="s">
        <v>2526</v>
      </c>
      <c r="F11" s="286"/>
      <c r="G11" s="287"/>
      <c r="H11" s="286"/>
      <c r="I11" s="286"/>
      <c r="J11" s="286"/>
    </row>
    <row r="12" spans="1:11" ht="13.7" customHeight="1">
      <c r="A12" s="288" t="s">
        <v>97</v>
      </c>
      <c r="B12" s="300" t="str">
        <f>Worksheet!D3</f>
        <v>JLL</v>
      </c>
      <c r="C12" s="238"/>
      <c r="D12" s="238"/>
      <c r="E12" s="269" t="s">
        <v>2527</v>
      </c>
      <c r="F12" s="238"/>
      <c r="G12" s="238"/>
      <c r="H12" s="238"/>
      <c r="I12" s="238"/>
      <c r="J12" s="238"/>
      <c r="K12" s="2"/>
    </row>
    <row r="13" spans="1:11" ht="14.25" customHeight="1">
      <c r="A13" s="266" t="s">
        <v>2</v>
      </c>
      <c r="B13" s="301">
        <f>Worksheet!D4</f>
        <v>0</v>
      </c>
      <c r="C13" s="238"/>
      <c r="D13" s="238"/>
      <c r="E13" s="269" t="s">
        <v>2528</v>
      </c>
      <c r="F13" s="238"/>
      <c r="G13" s="238"/>
      <c r="H13" s="238"/>
      <c r="I13" s="238"/>
      <c r="J13" s="238"/>
      <c r="K13" s="2"/>
    </row>
    <row r="14" spans="1:11" ht="13.7" customHeight="1">
      <c r="A14" s="266"/>
      <c r="B14" s="301">
        <f>Worksheet!D5</f>
        <v>0</v>
      </c>
      <c r="C14" s="238"/>
      <c r="D14" s="238"/>
      <c r="E14" s="269" t="s">
        <v>2529</v>
      </c>
      <c r="F14" s="238"/>
      <c r="G14" s="238"/>
      <c r="H14" s="238"/>
      <c r="I14" s="238"/>
      <c r="J14" s="238"/>
      <c r="K14" s="2"/>
    </row>
    <row r="15" spans="1:11" ht="8.65" customHeight="1">
      <c r="A15" s="266"/>
      <c r="B15" s="289"/>
      <c r="C15" s="238"/>
      <c r="D15" s="238"/>
      <c r="E15" s="269"/>
      <c r="F15" s="238"/>
      <c r="G15" s="238"/>
      <c r="H15" s="238"/>
      <c r="I15" s="238"/>
      <c r="J15" s="238"/>
      <c r="K15" s="2"/>
    </row>
    <row r="16" spans="1:11" ht="16.350000000000001" customHeight="1">
      <c r="A16" s="266" t="s">
        <v>98</v>
      </c>
      <c r="B16" s="301">
        <f>Worksheet!D6</f>
        <v>0</v>
      </c>
      <c r="C16" s="238"/>
      <c r="D16" s="238"/>
      <c r="E16" s="269"/>
      <c r="F16" s="238"/>
      <c r="G16" s="238"/>
      <c r="H16" s="238"/>
      <c r="I16" s="238"/>
      <c r="J16" s="238"/>
      <c r="K16" s="2"/>
    </row>
    <row r="17" spans="1:11" ht="13.15" customHeight="1">
      <c r="A17" s="238" t="s">
        <v>111</v>
      </c>
      <c r="B17" s="266">
        <f>Worksheet!J7</f>
        <v>0</v>
      </c>
      <c r="C17" s="238"/>
      <c r="D17" s="238"/>
      <c r="E17" s="238"/>
      <c r="F17" s="238"/>
      <c r="G17" s="238"/>
      <c r="H17" s="238"/>
      <c r="I17" s="238"/>
      <c r="J17" s="238"/>
      <c r="K17" s="2"/>
    </row>
    <row r="18" spans="1:11" ht="15.75" customHeight="1">
      <c r="A18" s="238" t="s">
        <v>102</v>
      </c>
      <c r="B18" s="238">
        <f>Worksheet!D7</f>
        <v>0</v>
      </c>
      <c r="C18" s="238"/>
      <c r="D18" s="238"/>
      <c r="E18" s="238"/>
      <c r="F18" s="238"/>
      <c r="G18" s="238"/>
      <c r="H18" s="238"/>
      <c r="I18" s="238"/>
      <c r="J18" s="238"/>
      <c r="K18" s="2"/>
    </row>
    <row r="19" spans="1:11" ht="13.7" customHeight="1">
      <c r="A19" s="238" t="s">
        <v>109</v>
      </c>
      <c r="B19" s="238">
        <f>Worksheet!J6</f>
        <v>0</v>
      </c>
      <c r="C19" s="238"/>
      <c r="D19" s="238"/>
      <c r="E19" s="238"/>
      <c r="F19" s="238"/>
      <c r="G19" s="238"/>
      <c r="H19" s="238"/>
      <c r="I19" s="238"/>
      <c r="J19" s="238"/>
      <c r="K19" s="2"/>
    </row>
    <row r="20" spans="1:11">
      <c r="A20" s="238"/>
      <c r="B20" s="238"/>
      <c r="C20" s="238"/>
      <c r="D20" s="238"/>
      <c r="E20" s="238"/>
      <c r="F20" s="238"/>
      <c r="G20" s="238"/>
      <c r="H20" s="238"/>
      <c r="I20" s="238"/>
      <c r="J20" s="283"/>
    </row>
    <row r="21" spans="1:11">
      <c r="A21" s="238"/>
      <c r="B21" s="238"/>
      <c r="C21" s="238"/>
      <c r="D21" s="238"/>
      <c r="E21" s="238"/>
      <c r="F21" s="238"/>
      <c r="G21" s="238"/>
      <c r="H21" s="238"/>
      <c r="I21" s="238"/>
      <c r="J21" s="283"/>
    </row>
    <row r="22" spans="1:11" ht="24.2" customHeight="1">
      <c r="A22" s="290" t="s">
        <v>2524</v>
      </c>
      <c r="B22" s="291" t="str">
        <f>Worksheet!W4</f>
        <v>Windcrest WO#J5121027-00234.01</v>
      </c>
      <c r="C22" s="291"/>
      <c r="D22" s="291"/>
      <c r="E22" s="238"/>
      <c r="F22" s="238"/>
      <c r="G22" s="238"/>
      <c r="H22" s="238"/>
      <c r="I22" s="238"/>
      <c r="J22" s="238"/>
      <c r="K22" s="2"/>
    </row>
    <row r="23" spans="1:11">
      <c r="A23" s="238"/>
      <c r="B23" s="238"/>
      <c r="C23" s="238"/>
      <c r="D23" s="238"/>
      <c r="E23" s="238"/>
      <c r="F23" s="238"/>
      <c r="G23" s="238"/>
      <c r="H23" s="238"/>
      <c r="I23" s="238"/>
      <c r="J23" s="238"/>
      <c r="K23" s="2"/>
    </row>
    <row r="24" spans="1:11" ht="14.25">
      <c r="A24" s="266" t="s">
        <v>2525</v>
      </c>
      <c r="B24" s="266"/>
      <c r="C24" s="238"/>
      <c r="D24" s="238"/>
      <c r="E24" s="238"/>
      <c r="F24" s="238"/>
      <c r="G24" s="238"/>
      <c r="H24" s="238"/>
      <c r="I24" s="238"/>
      <c r="J24" s="238"/>
      <c r="K24" s="2"/>
    </row>
    <row r="25" spans="1:11">
      <c r="A25" s="238"/>
      <c r="B25" s="238"/>
      <c r="C25" s="238"/>
      <c r="D25" s="238"/>
      <c r="E25" s="238"/>
      <c r="F25" s="238"/>
      <c r="G25" s="238"/>
      <c r="H25" s="238"/>
      <c r="I25" s="238"/>
      <c r="J25" s="283"/>
    </row>
    <row r="26" spans="1:11">
      <c r="A26" s="238"/>
      <c r="B26" s="238"/>
      <c r="C26" s="238"/>
      <c r="D26" s="239" t="s">
        <v>6</v>
      </c>
      <c r="E26" s="239" t="s">
        <v>6</v>
      </c>
      <c r="F26" s="239" t="s">
        <v>6</v>
      </c>
      <c r="G26" s="239" t="s">
        <v>100</v>
      </c>
      <c r="H26" s="239"/>
      <c r="I26" s="238"/>
      <c r="J26" s="283"/>
    </row>
    <row r="27" spans="1:11">
      <c r="A27" s="238"/>
      <c r="B27" s="240" t="s">
        <v>110</v>
      </c>
      <c r="C27" s="240"/>
      <c r="D27" s="292" t="s">
        <v>101</v>
      </c>
      <c r="E27" s="292" t="s">
        <v>10</v>
      </c>
      <c r="F27" s="292" t="s">
        <v>11</v>
      </c>
      <c r="G27" s="292" t="s">
        <v>103</v>
      </c>
      <c r="H27" s="292" t="s">
        <v>13</v>
      </c>
      <c r="I27" s="292" t="s">
        <v>104</v>
      </c>
      <c r="J27" s="283"/>
    </row>
    <row r="28" spans="1:11">
      <c r="A28" s="238"/>
      <c r="B28" s="238"/>
      <c r="C28" s="238"/>
      <c r="D28" s="239"/>
      <c r="E28" s="239"/>
      <c r="F28" s="239"/>
      <c r="G28" s="239"/>
      <c r="H28" s="239"/>
      <c r="I28" s="239"/>
      <c r="J28" s="283"/>
      <c r="K28" s="2"/>
    </row>
    <row r="29" spans="1:11">
      <c r="A29" s="238"/>
      <c r="B29" s="238"/>
      <c r="C29" s="238"/>
      <c r="D29" s="239"/>
      <c r="E29" s="239"/>
      <c r="F29" s="239"/>
      <c r="G29" s="239"/>
      <c r="H29" s="239"/>
      <c r="I29" s="239"/>
      <c r="J29" s="283"/>
      <c r="K29" s="2"/>
    </row>
    <row r="30" spans="1:11">
      <c r="A30" s="238"/>
      <c r="B30" s="238"/>
      <c r="C30" s="238"/>
      <c r="D30" s="239"/>
      <c r="E30" s="239"/>
      <c r="F30" s="239"/>
      <c r="G30" s="239"/>
      <c r="H30" s="239"/>
      <c r="I30" s="239"/>
      <c r="J30" s="283"/>
      <c r="K30" s="2"/>
    </row>
    <row r="31" spans="1:11">
      <c r="A31" s="238"/>
      <c r="B31" s="238"/>
      <c r="C31" s="238"/>
      <c r="D31" s="239"/>
      <c r="E31" s="239"/>
      <c r="F31" s="239"/>
      <c r="G31" s="239"/>
      <c r="H31" s="239"/>
      <c r="I31" s="239"/>
      <c r="J31" s="283"/>
      <c r="K31" s="2"/>
    </row>
    <row r="32" spans="1:11">
      <c r="A32" s="238"/>
      <c r="B32" s="238"/>
      <c r="C32" s="238"/>
      <c r="D32" s="239"/>
      <c r="E32" s="239"/>
      <c r="F32" s="239"/>
      <c r="G32" s="239"/>
      <c r="H32" s="239"/>
      <c r="I32" s="239"/>
      <c r="J32" s="283"/>
      <c r="K32" s="2"/>
    </row>
    <row r="33" spans="1:11">
      <c r="A33" s="238"/>
      <c r="B33" s="238"/>
      <c r="C33" s="238"/>
      <c r="D33" s="239"/>
      <c r="E33" s="239"/>
      <c r="F33" s="239"/>
      <c r="G33" s="239"/>
      <c r="H33" s="239"/>
      <c r="I33" s="239"/>
      <c r="J33" s="283"/>
      <c r="K33" s="2"/>
    </row>
    <row r="34" spans="1:11">
      <c r="A34" s="238"/>
      <c r="B34" s="238"/>
      <c r="C34" s="238"/>
      <c r="D34" s="239"/>
      <c r="E34" s="239"/>
      <c r="F34" s="239"/>
      <c r="G34" s="239"/>
      <c r="H34" s="239"/>
      <c r="I34" s="239"/>
      <c r="J34" s="283"/>
      <c r="K34" s="2"/>
    </row>
    <row r="35" spans="1:11">
      <c r="A35" s="238"/>
      <c r="B35" s="238"/>
      <c r="C35" s="238"/>
      <c r="D35" s="239"/>
      <c r="E35" s="239"/>
      <c r="F35" s="239"/>
      <c r="G35" s="239"/>
      <c r="H35" s="239"/>
      <c r="I35" s="239"/>
      <c r="J35" s="283"/>
      <c r="K35" s="2"/>
    </row>
    <row r="36" spans="1:11">
      <c r="A36" s="238"/>
      <c r="B36" s="238"/>
      <c r="C36" s="238"/>
      <c r="D36" s="239"/>
      <c r="E36" s="239"/>
      <c r="F36" s="239"/>
      <c r="G36" s="239"/>
      <c r="H36" s="239"/>
      <c r="I36" s="239"/>
      <c r="J36" s="283"/>
      <c r="K36" s="2"/>
    </row>
    <row r="37" spans="1:11">
      <c r="A37" s="238"/>
      <c r="B37" s="238"/>
      <c r="C37" s="238"/>
      <c r="D37" s="239"/>
      <c r="E37" s="239"/>
      <c r="F37" s="239"/>
      <c r="G37" s="239"/>
      <c r="H37" s="293"/>
      <c r="I37" s="239"/>
      <c r="J37" s="283"/>
      <c r="K37" s="2"/>
    </row>
    <row r="38" spans="1:11">
      <c r="A38" s="269"/>
      <c r="B38" s="272" t="s">
        <v>2539</v>
      </c>
      <c r="C38" s="416" t="s">
        <v>2533</v>
      </c>
      <c r="D38" s="416"/>
      <c r="E38" s="416"/>
      <c r="F38" s="416"/>
      <c r="G38" s="269"/>
      <c r="H38" s="269"/>
      <c r="I38" s="271"/>
      <c r="J38" s="283"/>
      <c r="K38" s="2"/>
    </row>
    <row r="39" spans="1:11" s="267" customFormat="1" ht="12.75" customHeight="1">
      <c r="A39" s="269"/>
      <c r="B39" s="286"/>
      <c r="C39" s="286"/>
      <c r="D39" s="286"/>
      <c r="E39" s="286"/>
      <c r="F39" s="286"/>
      <c r="G39" s="270"/>
      <c r="H39" s="270"/>
      <c r="I39" s="271"/>
      <c r="J39" s="286"/>
    </row>
    <row r="40" spans="1:11" s="267" customFormat="1" ht="12.75" customHeight="1">
      <c r="A40" s="269"/>
      <c r="B40" s="269"/>
      <c r="C40" s="269"/>
      <c r="D40" s="269"/>
      <c r="E40" s="269"/>
      <c r="F40" s="270" t="s">
        <v>112</v>
      </c>
      <c r="G40" s="270"/>
      <c r="H40" s="270"/>
      <c r="I40" s="271"/>
      <c r="J40" s="286"/>
    </row>
    <row r="41" spans="1:11" s="267" customFormat="1" ht="15">
      <c r="A41" s="273"/>
      <c r="B41" s="270" t="s">
        <v>94</v>
      </c>
      <c r="C41" s="273"/>
      <c r="D41" s="299">
        <f>Worksheet!AR36</f>
        <v>28799.003333333334</v>
      </c>
      <c r="E41" s="270"/>
      <c r="F41" s="294" t="s">
        <v>2540</v>
      </c>
      <c r="G41" s="277"/>
      <c r="H41" s="270"/>
      <c r="I41" s="274"/>
      <c r="J41" s="286"/>
    </row>
    <row r="42" spans="1:11" s="267" customFormat="1" ht="15">
      <c r="A42" s="273"/>
      <c r="B42" s="270" t="s">
        <v>105</v>
      </c>
      <c r="C42" s="275">
        <f>[6]Worksheet!AC39</f>
        <v>0</v>
      </c>
      <c r="D42" s="276"/>
      <c r="E42" s="294"/>
      <c r="I42" s="274"/>
      <c r="J42" s="286"/>
    </row>
    <row r="43" spans="1:11" ht="15.75">
      <c r="A43" s="273"/>
      <c r="B43" s="273"/>
      <c r="C43" s="273"/>
      <c r="D43" s="278">
        <f>SUM(D41:D42)</f>
        <v>28799.003333333334</v>
      </c>
      <c r="E43" s="270"/>
      <c r="F43" s="297" t="s">
        <v>2546</v>
      </c>
      <c r="H43" s="281"/>
      <c r="I43" s="298"/>
      <c r="J43" s="283"/>
      <c r="K43" s="2"/>
    </row>
    <row r="44" spans="1:11" ht="15.75">
      <c r="A44" s="302" t="s">
        <v>2548</v>
      </c>
      <c r="B44" s="273"/>
      <c r="C44" s="273"/>
      <c r="D44" s="278"/>
      <c r="E44" s="270"/>
      <c r="F44" s="297"/>
      <c r="H44" s="270"/>
      <c r="I44" s="274"/>
      <c r="J44" s="283"/>
      <c r="K44" s="2"/>
    </row>
    <row r="45" spans="1:11">
      <c r="A45" s="270"/>
      <c r="B45" s="270"/>
      <c r="C45" s="279"/>
      <c r="D45" s="270"/>
      <c r="E45" s="270"/>
      <c r="F45" s="270"/>
      <c r="G45" s="270"/>
      <c r="H45" s="270"/>
      <c r="I45" s="274"/>
      <c r="J45" s="283"/>
    </row>
    <row r="46" spans="1:11">
      <c r="A46" s="270"/>
      <c r="B46" s="280" t="s">
        <v>2541</v>
      </c>
      <c r="C46" s="270"/>
      <c r="D46" s="270"/>
      <c r="E46" s="270"/>
      <c r="F46" s="270"/>
      <c r="G46" s="270"/>
      <c r="H46" s="270"/>
      <c r="I46" s="274"/>
      <c r="J46" s="283"/>
    </row>
    <row r="47" spans="1:11">
      <c r="A47" s="270"/>
      <c r="B47" s="238" t="s">
        <v>2544</v>
      </c>
      <c r="C47" s="238"/>
      <c r="D47" s="238"/>
      <c r="E47" s="238"/>
      <c r="F47" s="238"/>
      <c r="G47" s="238"/>
      <c r="H47" s="238"/>
      <c r="I47" s="238"/>
      <c r="J47" s="283"/>
    </row>
    <row r="48" spans="1:11">
      <c r="A48" s="270"/>
      <c r="B48" s="238" t="s">
        <v>2545</v>
      </c>
      <c r="C48" s="238"/>
      <c r="D48" s="238"/>
      <c r="E48" s="238"/>
      <c r="F48" s="238"/>
      <c r="G48" s="238"/>
      <c r="H48" s="238"/>
      <c r="I48" s="238"/>
      <c r="J48" s="283"/>
    </row>
    <row r="49" spans="1:10">
      <c r="A49" s="270"/>
      <c r="B49" s="270"/>
      <c r="C49" s="270"/>
      <c r="D49" s="270"/>
      <c r="E49" s="270"/>
      <c r="F49" s="270"/>
      <c r="G49" s="270"/>
      <c r="H49" s="270"/>
      <c r="I49" s="274"/>
      <c r="J49" s="283"/>
    </row>
    <row r="50" spans="1:10">
      <c r="A50" s="270"/>
      <c r="B50" s="270"/>
      <c r="C50" s="270"/>
      <c r="D50" s="270"/>
      <c r="E50" s="270"/>
      <c r="F50" s="270"/>
      <c r="G50" s="270"/>
      <c r="H50" s="270"/>
      <c r="I50" s="274"/>
      <c r="J50" s="283"/>
    </row>
    <row r="51" spans="1:10">
      <c r="A51" s="270" t="s">
        <v>95</v>
      </c>
      <c r="B51" s="270"/>
      <c r="C51" s="270"/>
      <c r="D51" s="270"/>
      <c r="E51" s="238"/>
      <c r="F51" s="238" t="s">
        <v>99</v>
      </c>
      <c r="G51" s="238"/>
      <c r="H51" s="238"/>
      <c r="I51" s="270"/>
      <c r="J51" s="283"/>
    </row>
    <row r="52" spans="1:10">
      <c r="A52" s="270"/>
      <c r="B52" s="270"/>
      <c r="C52" s="270"/>
      <c r="D52" s="270"/>
      <c r="E52" s="238"/>
      <c r="F52" s="238"/>
      <c r="G52" s="238"/>
      <c r="H52" s="238"/>
      <c r="I52" s="270"/>
      <c r="J52" s="283"/>
    </row>
    <row r="53" spans="1:10">
      <c r="A53" s="270"/>
      <c r="B53" s="270"/>
      <c r="C53" s="270"/>
      <c r="D53" s="270"/>
      <c r="E53" s="238"/>
      <c r="F53" s="270"/>
      <c r="G53" s="270"/>
      <c r="H53" s="270"/>
      <c r="I53" s="270"/>
      <c r="J53" s="283"/>
    </row>
    <row r="54" spans="1:10">
      <c r="A54" s="281"/>
      <c r="B54" s="281"/>
      <c r="C54" s="281"/>
      <c r="D54" s="270"/>
      <c r="E54" s="238"/>
      <c r="F54" s="292"/>
      <c r="G54" s="292"/>
      <c r="H54" s="292"/>
      <c r="I54" s="292"/>
      <c r="J54" s="283"/>
    </row>
    <row r="55" spans="1:10">
      <c r="A55" s="282"/>
      <c r="B55" s="270"/>
      <c r="C55" s="270"/>
      <c r="D55" s="270"/>
      <c r="E55" s="238"/>
      <c r="F55" s="238"/>
      <c r="G55" s="238"/>
      <c r="H55" s="238"/>
      <c r="I55" s="270"/>
      <c r="J55" s="283"/>
    </row>
    <row r="56" spans="1:10">
      <c r="A56" s="270" t="s">
        <v>106</v>
      </c>
      <c r="B56" s="270"/>
      <c r="C56" s="270"/>
      <c r="D56" s="270"/>
      <c r="E56" s="238"/>
      <c r="F56" s="238" t="s">
        <v>2542</v>
      </c>
      <c r="G56" s="238"/>
      <c r="H56" s="238"/>
      <c r="I56" s="270"/>
      <c r="J56" s="283"/>
    </row>
    <row r="57" spans="1:10">
      <c r="A57" s="270" t="s">
        <v>2530</v>
      </c>
      <c r="B57" s="270"/>
      <c r="C57" s="270"/>
      <c r="D57" s="270"/>
      <c r="E57" s="238"/>
      <c r="F57" s="270"/>
      <c r="G57" s="238"/>
      <c r="H57" s="238"/>
      <c r="I57" s="270"/>
      <c r="J57" s="283"/>
    </row>
    <row r="58" spans="1:10" ht="15.6" customHeight="1">
      <c r="A58" s="295" t="s">
        <v>2543</v>
      </c>
      <c r="B58" s="270"/>
      <c r="C58" s="270"/>
      <c r="D58" s="270"/>
      <c r="E58" s="238"/>
      <c r="F58" s="270"/>
      <c r="G58" s="270"/>
      <c r="H58" s="270"/>
      <c r="I58" s="274"/>
      <c r="J58" s="283"/>
    </row>
    <row r="59" spans="1:10">
      <c r="A59" s="238"/>
      <c r="B59" s="238"/>
      <c r="C59" s="238"/>
      <c r="D59" s="238"/>
      <c r="E59" s="238"/>
      <c r="F59" s="238"/>
      <c r="G59" s="238"/>
      <c r="H59" s="238"/>
      <c r="I59" s="238"/>
      <c r="J59" s="283"/>
    </row>
    <row r="60" spans="1:10">
      <c r="A60" s="238"/>
      <c r="B60" s="296"/>
      <c r="C60" s="238"/>
      <c r="D60" s="238"/>
      <c r="E60" s="238"/>
      <c r="F60" s="238"/>
      <c r="G60" s="238"/>
      <c r="H60" s="238"/>
      <c r="I60" s="238"/>
      <c r="J60" s="283"/>
    </row>
    <row r="61" spans="1:10">
      <c r="A61" s="238"/>
      <c r="B61" s="296"/>
      <c r="C61" s="238"/>
      <c r="D61" s="238"/>
      <c r="E61" s="238"/>
      <c r="F61" s="238"/>
      <c r="G61" s="238"/>
      <c r="H61" s="238"/>
      <c r="I61" s="238"/>
      <c r="J61" s="283"/>
    </row>
    <row r="110" spans="2:2">
      <c r="B110" s="270" t="s">
        <v>2533</v>
      </c>
    </row>
    <row r="111" spans="2:2">
      <c r="B111" s="270" t="s">
        <v>2534</v>
      </c>
    </row>
    <row r="112" spans="2:2">
      <c r="B112" s="270" t="s">
        <v>2535</v>
      </c>
    </row>
    <row r="113" spans="2:2">
      <c r="B113" s="270" t="s">
        <v>2536</v>
      </c>
    </row>
    <row r="114" spans="2:2">
      <c r="B114" s="270" t="s">
        <v>2537</v>
      </c>
    </row>
    <row r="115" spans="2:2">
      <c r="B115" s="270" t="s">
        <v>2538</v>
      </c>
    </row>
  </sheetData>
  <mergeCells count="1">
    <mergeCell ref="C38:F38"/>
  </mergeCells>
  <dataValidations count="1">
    <dataValidation type="list" allowBlank="1" showInputMessage="1" showErrorMessage="1" sqref="C38:F38" xr:uid="{8F35C622-D028-41F7-8D0C-20D3B50EFE6D}">
      <formula1>$B$110:$B$115</formula1>
    </dataValidation>
  </dataValidations>
  <hyperlinks>
    <hyperlink ref="A58" r:id="rId1" display="neil@coltoninc.com" xr:uid="{34E4D1E1-F6F7-496E-A6E0-3FF8DF55C768}"/>
  </hyperlinks>
  <printOptions gridLinesSet="0"/>
  <pageMargins left="0.86" right="0.75" top="0.5" bottom="0.5" header="0.25" footer="0.5"/>
  <pageSetup scale="85" orientation="portrait" horizontalDpi="300" verticalDpi="4294967292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91E01-58DA-483B-BDDA-78BBCC5B198B}">
  <dimension ref="A1:Z43"/>
  <sheetViews>
    <sheetView showGridLines="0" showZeros="0" view="pageBreakPreview" zoomScale="90" zoomScaleNormal="80" zoomScaleSheetLayoutView="90" workbookViewId="0">
      <selection activeCell="W31" sqref="W3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5" t="s">
        <v>2554</v>
      </c>
      <c r="P1" s="455"/>
      <c r="Q1" s="455"/>
      <c r="R1" s="455"/>
      <c r="S1" s="455"/>
      <c r="T1" s="47"/>
      <c r="U1" s="47"/>
      <c r="V1" s="47"/>
      <c r="X1" s="307" t="s">
        <v>2555</v>
      </c>
      <c r="Y1" s="308">
        <f>'Worksheet 2'!AR1</f>
        <v>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1" t="s">
        <v>2531</v>
      </c>
      <c r="Q4" s="421"/>
      <c r="R4" s="418" t="str">
        <f>'Worksheet 2'!R4</f>
        <v>June 20 2025</v>
      </c>
      <c r="S4" s="418"/>
      <c r="T4" s="418"/>
      <c r="U4" s="171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6"/>
      <c r="X5" s="456"/>
      <c r="Y5" s="456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4" t="str">
        <f>'Worksheet 2'!W4</f>
        <v>Windcrest WO#J5121027-00234.01</v>
      </c>
      <c r="X6" s="454"/>
      <c r="Y6" s="321"/>
      <c r="Z6" s="66"/>
    </row>
    <row r="7" spans="1:26" s="53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 t="str">
        <f>'Worksheet 2'!B11</f>
        <v>RS</v>
      </c>
      <c r="C11" s="155" t="str">
        <f>'Worksheet 2'!C11</f>
        <v>X</v>
      </c>
      <c r="D11" s="112">
        <f>'Worksheet 2'!D11</f>
        <v>1</v>
      </c>
      <c r="E11" s="113">
        <f>'Worksheet 2'!E11</f>
        <v>0</v>
      </c>
      <c r="F11" s="113">
        <f>'Worksheet 2'!F11</f>
        <v>0</v>
      </c>
      <c r="G11" s="111">
        <f>'Worksheet 2'!G11</f>
        <v>60</v>
      </c>
      <c r="H11" s="114">
        <f>'Worksheet 2'!H11</f>
        <v>3.5</v>
      </c>
      <c r="I11" s="111">
        <f>'Worksheet 2'!I11</f>
        <v>104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'Worksheet 2'!M11</f>
        <v>13</v>
      </c>
      <c r="N11" s="248" t="str">
        <f>IF(G11&gt;0,"x",0)</f>
        <v>x</v>
      </c>
      <c r="O11" s="249">
        <f t="shared" ref="O11:O30" si="0">+I11</f>
        <v>104</v>
      </c>
      <c r="P11" s="250">
        <f>'Worksheet 2'!P11</f>
        <v>72</v>
      </c>
      <c r="Q11" s="324">
        <f>'Worksheet 2'!Q11</f>
        <v>2.5499999999999998</v>
      </c>
      <c r="R11" s="250">
        <f>'Worksheet 2'!R11</f>
        <v>60</v>
      </c>
      <c r="S11" s="325">
        <f>'Worksheet 2'!S11</f>
        <v>2.9</v>
      </c>
      <c r="T11" s="113"/>
      <c r="U11" s="244">
        <f>+D11+E11</f>
        <v>1</v>
      </c>
      <c r="V11" s="221" t="str">
        <f>'Worksheet 2'!V11</f>
        <v>HO</v>
      </c>
      <c r="W11" s="221" t="str">
        <f>'Worksheet 2'!W11</f>
        <v>5th Avenue 72</v>
      </c>
      <c r="X11" s="222" t="str">
        <f>'Worksheet 2'!X11</f>
        <v xml:space="preserve">Flameguard 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 t="str">
        <f>'Worksheet 2'!B12</f>
        <v>RS</v>
      </c>
      <c r="C12" s="155" t="str">
        <f>'Worksheet 2'!C12</f>
        <v>X</v>
      </c>
      <c r="D12" s="112">
        <f>'Worksheet 2'!D12</f>
        <v>1</v>
      </c>
      <c r="E12" s="113">
        <f>'Worksheet 2'!E12</f>
        <v>0</v>
      </c>
      <c r="F12" s="113">
        <f>'Worksheet 2'!F12</f>
        <v>0</v>
      </c>
      <c r="G12" s="111">
        <f>'Worksheet 2'!G12</f>
        <v>60</v>
      </c>
      <c r="H12" s="114">
        <f>'Worksheet 2'!H12</f>
        <v>3.5</v>
      </c>
      <c r="I12" s="111">
        <f>'Worksheet 2'!I12</f>
        <v>104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'Worksheet 2'!M12</f>
        <v>13</v>
      </c>
      <c r="N12" s="248" t="str">
        <f t="shared" ref="N12:N30" si="4">IF(G12&gt;0,"x",0)</f>
        <v>x</v>
      </c>
      <c r="O12" s="249">
        <f t="shared" si="0"/>
        <v>104</v>
      </c>
      <c r="P12" s="250">
        <f>'Worksheet 2'!P12</f>
        <v>72</v>
      </c>
      <c r="Q12" s="324">
        <f>'Worksheet 2'!Q12</f>
        <v>2.5499999999999998</v>
      </c>
      <c r="R12" s="250">
        <f>'Worksheet 2'!R12</f>
        <v>60</v>
      </c>
      <c r="S12" s="325">
        <f>'Worksheet 2'!S12</f>
        <v>2.9</v>
      </c>
      <c r="T12" s="113"/>
      <c r="U12" s="244">
        <f t="shared" ref="U12:U30" si="5">+D12+E12</f>
        <v>1</v>
      </c>
      <c r="V12" s="221" t="str">
        <f>'Worksheet 2'!V12</f>
        <v>HO</v>
      </c>
      <c r="W12" s="221" t="str">
        <f>'Worksheet 2'!W12</f>
        <v>5th Avenue 72</v>
      </c>
      <c r="X12" s="222" t="str">
        <f>'Worksheet 2'!X12</f>
        <v xml:space="preserve">Flameguard 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 t="str">
        <f>'Worksheet 2'!B13</f>
        <v>Primary</v>
      </c>
      <c r="C13" s="155" t="str">
        <f>'Worksheet 2'!C13</f>
        <v>X</v>
      </c>
      <c r="D13" s="112">
        <f>'Worksheet 2'!D13</f>
        <v>1</v>
      </c>
      <c r="E13" s="113">
        <f>'Worksheet 2'!E13</f>
        <v>0</v>
      </c>
      <c r="F13" s="113">
        <f>'Worksheet 2'!F13</f>
        <v>0</v>
      </c>
      <c r="G13" s="111">
        <f>'Worksheet 2'!G13</f>
        <v>54</v>
      </c>
      <c r="H13" s="114">
        <f>'Worksheet 2'!H13</f>
        <v>3.5</v>
      </c>
      <c r="I13" s="111">
        <f>'Worksheet 2'!I13</f>
        <v>104</v>
      </c>
      <c r="J13" s="245">
        <f t="shared" si="1"/>
        <v>0</v>
      </c>
      <c r="K13" s="245">
        <f t="shared" si="2"/>
        <v>54</v>
      </c>
      <c r="L13" s="246" t="str">
        <f t="shared" si="3"/>
        <v>+</v>
      </c>
      <c r="M13" s="247">
        <f>'Worksheet 2'!M13</f>
        <v>13</v>
      </c>
      <c r="N13" s="248" t="str">
        <f t="shared" si="4"/>
        <v>x</v>
      </c>
      <c r="O13" s="249">
        <f t="shared" si="0"/>
        <v>104</v>
      </c>
      <c r="P13" s="250">
        <f>'Worksheet 2'!P13</f>
        <v>72</v>
      </c>
      <c r="Q13" s="324">
        <f>'Worksheet 2'!Q13</f>
        <v>2.3499999999999996</v>
      </c>
      <c r="R13" s="250">
        <f>'Worksheet 2'!R13</f>
        <v>60</v>
      </c>
      <c r="S13" s="325">
        <f>'Worksheet 2'!S13</f>
        <v>2.7</v>
      </c>
      <c r="T13" s="113"/>
      <c r="U13" s="244">
        <f t="shared" si="5"/>
        <v>1</v>
      </c>
      <c r="V13" s="221" t="str">
        <f>'Worksheet 2'!V13</f>
        <v>HO</v>
      </c>
      <c r="W13" s="221" t="str">
        <f>'Worksheet 2'!W13</f>
        <v>5th Avenue 72</v>
      </c>
      <c r="X13" s="222" t="str">
        <f>'Worksheet 2'!X13</f>
        <v xml:space="preserve">Flameguard 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 t="str">
        <f>'Worksheet 2'!B14</f>
        <v>Primary</v>
      </c>
      <c r="C14" s="155" t="str">
        <f>'Worksheet 2'!C14</f>
        <v>X</v>
      </c>
      <c r="D14" s="112">
        <f>'Worksheet 2'!D14</f>
        <v>1</v>
      </c>
      <c r="E14" s="113">
        <f>'Worksheet 2'!E14</f>
        <v>0</v>
      </c>
      <c r="F14" s="113">
        <f>'Worksheet 2'!F14</f>
        <v>0</v>
      </c>
      <c r="G14" s="111">
        <f>'Worksheet 2'!G14</f>
        <v>54</v>
      </c>
      <c r="H14" s="114">
        <f>'Worksheet 2'!H14</f>
        <v>3.5</v>
      </c>
      <c r="I14" s="111">
        <f>'Worksheet 2'!I14</f>
        <v>104</v>
      </c>
      <c r="J14" s="245">
        <f t="shared" si="1"/>
        <v>0</v>
      </c>
      <c r="K14" s="245">
        <f t="shared" si="2"/>
        <v>54</v>
      </c>
      <c r="L14" s="246" t="str">
        <f t="shared" si="3"/>
        <v>+</v>
      </c>
      <c r="M14" s="247">
        <f>'Worksheet 2'!M14</f>
        <v>13</v>
      </c>
      <c r="N14" s="248" t="str">
        <f t="shared" si="4"/>
        <v>x</v>
      </c>
      <c r="O14" s="249">
        <f t="shared" si="0"/>
        <v>104</v>
      </c>
      <c r="P14" s="250">
        <f>'Worksheet 2'!P14</f>
        <v>72</v>
      </c>
      <c r="Q14" s="324">
        <f>'Worksheet 2'!Q14</f>
        <v>2.3499999999999996</v>
      </c>
      <c r="R14" s="250">
        <f>'Worksheet 2'!R14</f>
        <v>60</v>
      </c>
      <c r="S14" s="325">
        <f>'Worksheet 2'!S14</f>
        <v>2.7</v>
      </c>
      <c r="T14" s="113">
        <v>0</v>
      </c>
      <c r="U14" s="244">
        <f t="shared" si="5"/>
        <v>1</v>
      </c>
      <c r="V14" s="221" t="str">
        <f>'Worksheet 2'!V14</f>
        <v>HO</v>
      </c>
      <c r="W14" s="221" t="str">
        <f>'Worksheet 2'!W14</f>
        <v>5th Avenue 72</v>
      </c>
      <c r="X14" s="222" t="str">
        <f>'Worksheet 2'!X14</f>
        <v xml:space="preserve">Flameguard 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 t="str">
        <f>'Worksheet 2'!B15</f>
        <v>Clerk</v>
      </c>
      <c r="C15" s="155" t="str">
        <f>'Worksheet 2'!C15</f>
        <v>X</v>
      </c>
      <c r="D15" s="112">
        <f>'Worksheet 2'!D15</f>
        <v>1</v>
      </c>
      <c r="E15" s="113">
        <f>'Worksheet 2'!E15</f>
        <v>0</v>
      </c>
      <c r="F15" s="113">
        <f>'Worksheet 2'!F15</f>
        <v>0</v>
      </c>
      <c r="G15" s="111">
        <f>'Worksheet 2'!G15</f>
        <v>44</v>
      </c>
      <c r="H15" s="114">
        <f>'Worksheet 2'!H15</f>
        <v>3.5</v>
      </c>
      <c r="I15" s="111">
        <f>'Worksheet 2'!I15</f>
        <v>83</v>
      </c>
      <c r="J15" s="245">
        <f t="shared" si="1"/>
        <v>0</v>
      </c>
      <c r="K15" s="245">
        <f t="shared" si="2"/>
        <v>44</v>
      </c>
      <c r="L15" s="246" t="str">
        <f t="shared" si="3"/>
        <v>+</v>
      </c>
      <c r="M15" s="247">
        <f>'Worksheet 2'!M15</f>
        <v>13</v>
      </c>
      <c r="N15" s="248" t="str">
        <f t="shared" si="4"/>
        <v>x</v>
      </c>
      <c r="O15" s="249">
        <f t="shared" si="0"/>
        <v>83</v>
      </c>
      <c r="P15" s="250">
        <f>'Worksheet 2'!P15</f>
        <v>72</v>
      </c>
      <c r="Q15" s="324">
        <f>'Worksheet 2'!Q15</f>
        <v>2</v>
      </c>
      <c r="R15" s="250">
        <f>'Worksheet 2'!R15</f>
        <v>60</v>
      </c>
      <c r="S15" s="325">
        <f>'Worksheet 2'!S15</f>
        <v>2.2999999999999998</v>
      </c>
      <c r="T15" s="113">
        <v>0</v>
      </c>
      <c r="U15" s="244">
        <f t="shared" si="5"/>
        <v>1</v>
      </c>
      <c r="V15" s="221" t="str">
        <f>'Worksheet 2'!V15</f>
        <v>HO</v>
      </c>
      <c r="W15" s="221" t="str">
        <f>'Worksheet 2'!W15</f>
        <v>5th Avenue 72</v>
      </c>
      <c r="X15" s="222" t="str">
        <f>'Worksheet 2'!X15</f>
        <v xml:space="preserve">Flameguard 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 t="str">
        <f>'Worksheet 2'!B16</f>
        <v>Bishop Valencia</v>
      </c>
      <c r="C16" s="155" t="str">
        <f>'Worksheet 2'!C16</f>
        <v>X</v>
      </c>
      <c r="D16" s="112">
        <f>'Worksheet 2'!D16</f>
        <v>1</v>
      </c>
      <c r="E16" s="113">
        <f>'Worksheet 2'!E16</f>
        <v>0</v>
      </c>
      <c r="F16" s="113">
        <f>'Worksheet 2'!F16</f>
        <v>0</v>
      </c>
      <c r="G16" s="111">
        <f>'Worksheet 2'!G16</f>
        <v>44</v>
      </c>
      <c r="H16" s="114">
        <f>'Worksheet 2'!H16</f>
        <v>3.5</v>
      </c>
      <c r="I16" s="111">
        <f>'Worksheet 2'!I16</f>
        <v>83</v>
      </c>
      <c r="J16" s="245">
        <f t="shared" si="1"/>
        <v>0</v>
      </c>
      <c r="K16" s="245">
        <f t="shared" si="2"/>
        <v>44</v>
      </c>
      <c r="L16" s="246" t="str">
        <f t="shared" si="3"/>
        <v>+</v>
      </c>
      <c r="M16" s="247">
        <f>'Worksheet 2'!M16</f>
        <v>13</v>
      </c>
      <c r="N16" s="248" t="str">
        <f t="shared" si="4"/>
        <v>x</v>
      </c>
      <c r="O16" s="249">
        <f t="shared" si="0"/>
        <v>83</v>
      </c>
      <c r="P16" s="250">
        <f>'Worksheet 2'!P16</f>
        <v>72</v>
      </c>
      <c r="Q16" s="324">
        <f>'Worksheet 2'!Q16</f>
        <v>2</v>
      </c>
      <c r="R16" s="250">
        <f>'Worksheet 2'!R16</f>
        <v>60</v>
      </c>
      <c r="S16" s="325">
        <f>'Worksheet 2'!S16</f>
        <v>2.2999999999999998</v>
      </c>
      <c r="T16" s="113">
        <v>0</v>
      </c>
      <c r="U16" s="244">
        <f t="shared" si="5"/>
        <v>1</v>
      </c>
      <c r="V16" s="221" t="str">
        <f>'Worksheet 2'!V16</f>
        <v>HO</v>
      </c>
      <c r="W16" s="221" t="str">
        <f>'Worksheet 2'!W16</f>
        <v>5th Avenue 72</v>
      </c>
      <c r="X16" s="222" t="str">
        <f>'Worksheet 2'!X16</f>
        <v xml:space="preserve">Flameguard 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 t="str">
        <f>'Worksheet 2'!B17</f>
        <v>Chapel</v>
      </c>
      <c r="C17" s="155">
        <f>'Worksheet 2'!C17</f>
        <v>0</v>
      </c>
      <c r="D17" s="112">
        <f>'Worksheet 2'!D17</f>
        <v>1</v>
      </c>
      <c r="E17" s="113">
        <f>'Worksheet 2'!E17</f>
        <v>0</v>
      </c>
      <c r="F17" s="113">
        <f>'Worksheet 2'!F17</f>
        <v>0</v>
      </c>
      <c r="G17" s="111">
        <f>'Worksheet 2'!G17</f>
        <v>40</v>
      </c>
      <c r="H17" s="114">
        <f>'Worksheet 2'!H17</f>
        <v>3.5</v>
      </c>
      <c r="I17" s="111">
        <f>'Worksheet 2'!I17</f>
        <v>144</v>
      </c>
      <c r="J17" s="245">
        <f t="shared" si="1"/>
        <v>0</v>
      </c>
      <c r="K17" s="245">
        <f t="shared" si="2"/>
        <v>40</v>
      </c>
      <c r="L17" s="246" t="str">
        <f t="shared" si="3"/>
        <v>+</v>
      </c>
      <c r="M17" s="247">
        <f>'Worksheet 2'!M17</f>
        <v>13</v>
      </c>
      <c r="N17" s="248" t="str">
        <f t="shared" si="4"/>
        <v>x</v>
      </c>
      <c r="O17" s="249">
        <f t="shared" si="0"/>
        <v>144</v>
      </c>
      <c r="P17" s="250">
        <f>'Worksheet 2'!P17</f>
        <v>60</v>
      </c>
      <c r="Q17" s="324">
        <f>'Worksheet 2'!Q17</f>
        <v>2.25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1</v>
      </c>
      <c r="V17" s="221" t="str">
        <f>'Worksheet 2'!V17</f>
        <v>HO</v>
      </c>
      <c r="W17" s="221" t="str">
        <f>'Worksheet 2'!W17</f>
        <v xml:space="preserve">Liteless 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 t="str">
        <f>'Worksheet 2'!B18</f>
        <v>Chapel</v>
      </c>
      <c r="C18" s="155">
        <f>'Worksheet 2'!C18</f>
        <v>0</v>
      </c>
      <c r="D18" s="112">
        <f>'Worksheet 2'!D18</f>
        <v>1</v>
      </c>
      <c r="E18" s="113">
        <f>'Worksheet 2'!E18</f>
        <v>0</v>
      </c>
      <c r="F18" s="113">
        <f>'Worksheet 2'!F18</f>
        <v>0</v>
      </c>
      <c r="G18" s="111">
        <f>'Worksheet 2'!G18</f>
        <v>40</v>
      </c>
      <c r="H18" s="114">
        <f>'Worksheet 2'!H18</f>
        <v>3.5</v>
      </c>
      <c r="I18" s="111">
        <f>'Worksheet 2'!I18</f>
        <v>144</v>
      </c>
      <c r="J18" s="245">
        <f t="shared" si="1"/>
        <v>0</v>
      </c>
      <c r="K18" s="245">
        <f t="shared" si="2"/>
        <v>40</v>
      </c>
      <c r="L18" s="246" t="str">
        <f t="shared" si="3"/>
        <v>+</v>
      </c>
      <c r="M18" s="247">
        <f>'Worksheet 2'!M18</f>
        <v>13</v>
      </c>
      <c r="N18" s="248" t="str">
        <f t="shared" si="4"/>
        <v>x</v>
      </c>
      <c r="O18" s="249">
        <f t="shared" si="0"/>
        <v>144</v>
      </c>
      <c r="P18" s="250">
        <f>'Worksheet 2'!P18</f>
        <v>60</v>
      </c>
      <c r="Q18" s="324">
        <f>'Worksheet 2'!Q18</f>
        <v>2.25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1</v>
      </c>
      <c r="V18" s="221" t="str">
        <f>'Worksheet 2'!V18</f>
        <v>HO</v>
      </c>
      <c r="W18" s="221" t="str">
        <f>'Worksheet 2'!W18</f>
        <v xml:space="preserve">Liteless 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 t="str">
        <f>'Worksheet 2'!B19</f>
        <v>Chapel</v>
      </c>
      <c r="C19" s="155">
        <f>'Worksheet 2'!C19</f>
        <v>0</v>
      </c>
      <c r="D19" s="112">
        <f>'Worksheet 2'!D19</f>
        <v>1</v>
      </c>
      <c r="E19" s="113">
        <f>'Worksheet 2'!E19</f>
        <v>0</v>
      </c>
      <c r="F19" s="113">
        <f>'Worksheet 2'!F19</f>
        <v>0</v>
      </c>
      <c r="G19" s="111">
        <f>'Worksheet 2'!G19</f>
        <v>40</v>
      </c>
      <c r="H19" s="114">
        <f>'Worksheet 2'!H19</f>
        <v>3.5</v>
      </c>
      <c r="I19" s="111">
        <f>'Worksheet 2'!I19</f>
        <v>144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'Worksheet 2'!M19</f>
        <v>13</v>
      </c>
      <c r="N19" s="248" t="str">
        <f>IF(G19&gt;0,"x",0)</f>
        <v>x</v>
      </c>
      <c r="O19" s="249">
        <f>+I19</f>
        <v>144</v>
      </c>
      <c r="P19" s="250">
        <f>'Worksheet 2'!P19</f>
        <v>60</v>
      </c>
      <c r="Q19" s="324">
        <f>'Worksheet 2'!Q19</f>
        <v>2.25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1</v>
      </c>
      <c r="V19" s="221" t="str">
        <f>'Worksheet 2'!V19</f>
        <v>HO</v>
      </c>
      <c r="W19" s="221" t="str">
        <f>'Worksheet 2'!W19</f>
        <v xml:space="preserve">Liteless 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 t="str">
        <f>'Worksheet 2'!B20</f>
        <v>Chapel</v>
      </c>
      <c r="C20" s="155">
        <f>'Worksheet 2'!C20</f>
        <v>0</v>
      </c>
      <c r="D20" s="112">
        <f>'Worksheet 2'!D20</f>
        <v>1</v>
      </c>
      <c r="E20" s="113">
        <f>'Worksheet 2'!E20</f>
        <v>0</v>
      </c>
      <c r="F20" s="113">
        <f>'Worksheet 2'!F20</f>
        <v>0</v>
      </c>
      <c r="G20" s="111">
        <f>'Worksheet 2'!G20</f>
        <v>40</v>
      </c>
      <c r="H20" s="114">
        <f>'Worksheet 2'!H20</f>
        <v>3.5</v>
      </c>
      <c r="I20" s="111">
        <f>'Worksheet 2'!I20</f>
        <v>144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'Worksheet 2'!M20</f>
        <v>13</v>
      </c>
      <c r="N20" s="248" t="str">
        <f>IF(G20&gt;0,"x",0)</f>
        <v>x</v>
      </c>
      <c r="O20" s="249">
        <f>+I20</f>
        <v>144</v>
      </c>
      <c r="P20" s="250">
        <f>'Worksheet 2'!P20</f>
        <v>60</v>
      </c>
      <c r="Q20" s="324">
        <f>'Worksheet 2'!Q20</f>
        <v>2.25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1</v>
      </c>
      <c r="V20" s="221" t="str">
        <f>'Worksheet 2'!V20</f>
        <v>HO</v>
      </c>
      <c r="W20" s="221" t="str">
        <f>'Worksheet 2'!W20</f>
        <v xml:space="preserve">Liteless 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2550</v>
      </c>
      <c r="Z32" s="342">
        <f>'Worksheet 2'!Z32</f>
        <v>0</v>
      </c>
    </row>
    <row r="33" spans="1:26" s="53" customFormat="1" ht="15.95" customHeight="1" thickBot="1">
      <c r="A33" s="198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2551</v>
      </c>
      <c r="Z33" s="342">
        <f>'Worksheet 2'!Z33</f>
        <v>0</v>
      </c>
    </row>
    <row r="34" spans="1:26" s="53" customFormat="1" ht="18" customHeight="1" thickBot="1">
      <c r="A34" s="198"/>
      <c r="B34" s="379"/>
      <c r="C34" s="43"/>
      <c r="D34" s="149"/>
      <c r="E34" s="43"/>
      <c r="F34" s="66"/>
      <c r="G34" s="57"/>
      <c r="H34" s="80"/>
      <c r="O34" s="304" t="s">
        <v>2552</v>
      </c>
      <c r="P34" s="342">
        <f>'Worksheet 2'!O34</f>
        <v>38.599999999999994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9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C9:C10"/>
    <mergeCell ref="P9:P10"/>
    <mergeCell ref="V37:W37"/>
    <mergeCell ref="O1:S1"/>
    <mergeCell ref="P4:Q4"/>
    <mergeCell ref="R4:T4"/>
    <mergeCell ref="W5:Y5"/>
    <mergeCell ref="W6:X6"/>
  </mergeCells>
  <conditionalFormatting sqref="R4:T4">
    <cfRule type="containsBlanks" dxfId="2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3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4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5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6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7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25279-1134-47F2-BC93-944FA14D886F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5" t="s">
        <v>2561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1" t="s">
        <v>2531</v>
      </c>
      <c r="Q4" s="421"/>
      <c r="R4" s="418" t="str">
        <f>'Worksheet 2'!R4</f>
        <v>June 20 2025</v>
      </c>
      <c r="S4" s="418"/>
      <c r="T4" s="418"/>
      <c r="U4" s="171"/>
      <c r="V4" s="69" t="s">
        <v>4</v>
      </c>
      <c r="W4" s="454" t="str">
        <f>'Worksheet 2'!W4</f>
        <v>Windcrest WO#J5121027-00234.01</v>
      </c>
      <c r="X4" s="454"/>
      <c r="Y4" s="207" t="s">
        <v>2297</v>
      </c>
      <c r="Z4" s="211">
        <f>'Worksheet 2'!Z4</f>
        <v>2</v>
      </c>
    </row>
    <row r="5" spans="1:26" s="53" customFormat="1" ht="15.95" customHeight="1" thickBot="1">
      <c r="A5" s="198"/>
      <c r="B5" s="64"/>
      <c r="C5" s="57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32" t="str">
        <f>'Worksheet 2'!W5</f>
        <v>8801 Midcrown Dr</v>
      </c>
      <c r="X5" s="432"/>
      <c r="Y5" s="432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64">
        <f>'Worksheet 2'!AR1</f>
        <v>0</v>
      </c>
      <c r="R6" s="465"/>
      <c r="S6" s="57"/>
      <c r="T6" s="171"/>
      <c r="U6" s="75"/>
      <c r="V6" s="66"/>
      <c r="W6" s="432" t="str">
        <f>'Worksheet 2'!W6</f>
        <v>San Antonio, TX 78239</v>
      </c>
      <c r="X6" s="432"/>
      <c r="Y6" s="432"/>
      <c r="Z6" s="66"/>
    </row>
    <row r="7" spans="1:26" s="53" customFormat="1" ht="15.75" customHeight="1" thickBot="1">
      <c r="A7" s="198"/>
      <c r="B7" s="64"/>
      <c r="C7" s="66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2562</v>
      </c>
      <c r="Q7" s="466"/>
      <c r="R7" s="467"/>
      <c r="S7" s="57"/>
      <c r="T7" s="57"/>
      <c r="U7" s="75"/>
      <c r="V7" s="66" t="s">
        <v>108</v>
      </c>
      <c r="W7" s="338">
        <f>'Worksheet 2'!D6</f>
        <v>0</v>
      </c>
      <c r="X7" s="163">
        <f>'Worksheet 2'!J6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>
        <f>'Worksheet 2'!W8</f>
        <v>0</v>
      </c>
      <c r="X8" s="57"/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 t="str">
        <f>'Worksheet 2'!B11</f>
        <v>RS</v>
      </c>
      <c r="C11" s="155" t="str">
        <f>'Worksheet 2'!C11</f>
        <v>X</v>
      </c>
      <c r="D11" s="112">
        <f>'Worksheet 2'!D11</f>
        <v>1</v>
      </c>
      <c r="E11" s="113">
        <f>'Worksheet 2'!E11</f>
        <v>0</v>
      </c>
      <c r="F11" s="113">
        <f>'Worksheet 2'!F11</f>
        <v>0</v>
      </c>
      <c r="G11" s="111">
        <f>'Worksheet 2'!G11</f>
        <v>60</v>
      </c>
      <c r="H11" s="114">
        <f>'Worksheet 2'!H11</f>
        <v>3.5</v>
      </c>
      <c r="I11" s="111">
        <f>'Worksheet 2'!I11</f>
        <v>104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'Worksheet 2'!M11</f>
        <v>13</v>
      </c>
      <c r="N11" s="248" t="str">
        <f>IF(G11&gt;0,"x",0)</f>
        <v>x</v>
      </c>
      <c r="O11" s="249">
        <f t="shared" ref="O11:O30" si="0">+I11</f>
        <v>104</v>
      </c>
      <c r="P11" s="250">
        <f>'Worksheet 2'!P11</f>
        <v>72</v>
      </c>
      <c r="Q11" s="324">
        <f>'Worksheet 2'!Q11</f>
        <v>2.5499999999999998</v>
      </c>
      <c r="R11" s="250">
        <f>'Worksheet 2'!R11</f>
        <v>60</v>
      </c>
      <c r="S11" s="325">
        <f>'Worksheet 2'!S11</f>
        <v>2.9</v>
      </c>
      <c r="T11" s="113"/>
      <c r="U11" s="244">
        <f>+D11+E11</f>
        <v>1</v>
      </c>
      <c r="V11" s="221" t="str">
        <f>'Worksheet 2'!V11</f>
        <v>HO</v>
      </c>
      <c r="W11" s="221" t="str">
        <f>'Worksheet 2'!W11</f>
        <v>5th Avenue 72</v>
      </c>
      <c r="X11" s="222" t="str">
        <f>'Worksheet 2'!X11</f>
        <v xml:space="preserve">Flameguard 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 t="str">
        <f>'Worksheet 2'!B12</f>
        <v>RS</v>
      </c>
      <c r="C12" s="155" t="str">
        <f>'Worksheet 2'!C12</f>
        <v>X</v>
      </c>
      <c r="D12" s="112">
        <f>'Worksheet 2'!D12</f>
        <v>1</v>
      </c>
      <c r="E12" s="113">
        <f>'Worksheet 2'!E12</f>
        <v>0</v>
      </c>
      <c r="F12" s="113">
        <f>'Worksheet 2'!F12</f>
        <v>0</v>
      </c>
      <c r="G12" s="111">
        <f>'Worksheet 2'!G12</f>
        <v>60</v>
      </c>
      <c r="H12" s="114">
        <f>'Worksheet 2'!H12</f>
        <v>3.5</v>
      </c>
      <c r="I12" s="111">
        <f>'Worksheet 2'!I12</f>
        <v>104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'Worksheet 2'!M12</f>
        <v>13</v>
      </c>
      <c r="N12" s="248" t="str">
        <f t="shared" ref="N12:N30" si="4">IF(G12&gt;0,"x",0)</f>
        <v>x</v>
      </c>
      <c r="O12" s="249">
        <f t="shared" si="0"/>
        <v>104</v>
      </c>
      <c r="P12" s="250">
        <f>'Worksheet 2'!P12</f>
        <v>72</v>
      </c>
      <c r="Q12" s="324">
        <f>'Worksheet 2'!Q12</f>
        <v>2.5499999999999998</v>
      </c>
      <c r="R12" s="250">
        <f>'Worksheet 2'!R12</f>
        <v>60</v>
      </c>
      <c r="S12" s="325">
        <f>'Worksheet 2'!S12</f>
        <v>2.9</v>
      </c>
      <c r="T12" s="113"/>
      <c r="U12" s="244">
        <f t="shared" ref="U12:U30" si="5">+D12+E12</f>
        <v>1</v>
      </c>
      <c r="V12" s="221" t="str">
        <f>'Worksheet 2'!V12</f>
        <v>HO</v>
      </c>
      <c r="W12" s="221" t="str">
        <f>'Worksheet 2'!W12</f>
        <v>5th Avenue 72</v>
      </c>
      <c r="X12" s="222" t="str">
        <f>'Worksheet 2'!X12</f>
        <v xml:space="preserve">Flameguard 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 t="str">
        <f>'Worksheet 2'!B13</f>
        <v>Primary</v>
      </c>
      <c r="C13" s="155" t="str">
        <f>'Worksheet 2'!C13</f>
        <v>X</v>
      </c>
      <c r="D13" s="112">
        <f>'Worksheet 2'!D13</f>
        <v>1</v>
      </c>
      <c r="E13" s="113">
        <f>'Worksheet 2'!E13</f>
        <v>0</v>
      </c>
      <c r="F13" s="113">
        <f>'Worksheet 2'!F13</f>
        <v>0</v>
      </c>
      <c r="G13" s="111">
        <f>'Worksheet 2'!G13</f>
        <v>54</v>
      </c>
      <c r="H13" s="114">
        <f>'Worksheet 2'!H13</f>
        <v>3.5</v>
      </c>
      <c r="I13" s="111">
        <f>'Worksheet 2'!I13</f>
        <v>104</v>
      </c>
      <c r="J13" s="245">
        <f t="shared" si="1"/>
        <v>0</v>
      </c>
      <c r="K13" s="245">
        <f t="shared" si="2"/>
        <v>54</v>
      </c>
      <c r="L13" s="246" t="str">
        <f t="shared" si="3"/>
        <v>+</v>
      </c>
      <c r="M13" s="247">
        <f>'Worksheet 2'!M13</f>
        <v>13</v>
      </c>
      <c r="N13" s="248" t="str">
        <f t="shared" si="4"/>
        <v>x</v>
      </c>
      <c r="O13" s="249">
        <f t="shared" si="0"/>
        <v>104</v>
      </c>
      <c r="P13" s="250">
        <f>'Worksheet 2'!P13</f>
        <v>72</v>
      </c>
      <c r="Q13" s="324">
        <f>'Worksheet 2'!Q13</f>
        <v>2.3499999999999996</v>
      </c>
      <c r="R13" s="250">
        <f>'Worksheet 2'!R13</f>
        <v>60</v>
      </c>
      <c r="S13" s="325">
        <f>'Worksheet 2'!S13</f>
        <v>2.7</v>
      </c>
      <c r="T13" s="113"/>
      <c r="U13" s="244">
        <f t="shared" si="5"/>
        <v>1</v>
      </c>
      <c r="V13" s="221" t="str">
        <f>'Worksheet 2'!V13</f>
        <v>HO</v>
      </c>
      <c r="W13" s="221" t="str">
        <f>'Worksheet 2'!W13</f>
        <v>5th Avenue 72</v>
      </c>
      <c r="X13" s="222" t="str">
        <f>'Worksheet 2'!X13</f>
        <v xml:space="preserve">Flameguard 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 t="str">
        <f>'Worksheet 2'!B14</f>
        <v>Primary</v>
      </c>
      <c r="C14" s="155" t="str">
        <f>'Worksheet 2'!C14</f>
        <v>X</v>
      </c>
      <c r="D14" s="112">
        <f>'Worksheet 2'!D14</f>
        <v>1</v>
      </c>
      <c r="E14" s="113">
        <f>'Worksheet 2'!E14</f>
        <v>0</v>
      </c>
      <c r="F14" s="113">
        <f>'Worksheet 2'!F14</f>
        <v>0</v>
      </c>
      <c r="G14" s="111">
        <f>'Worksheet 2'!G14</f>
        <v>54</v>
      </c>
      <c r="H14" s="114">
        <f>'Worksheet 2'!H14</f>
        <v>3.5</v>
      </c>
      <c r="I14" s="111">
        <f>'Worksheet 2'!I14</f>
        <v>104</v>
      </c>
      <c r="J14" s="245">
        <f t="shared" si="1"/>
        <v>0</v>
      </c>
      <c r="K14" s="245">
        <f t="shared" si="2"/>
        <v>54</v>
      </c>
      <c r="L14" s="246" t="str">
        <f t="shared" si="3"/>
        <v>+</v>
      </c>
      <c r="M14" s="247">
        <f>'Worksheet 2'!M14</f>
        <v>13</v>
      </c>
      <c r="N14" s="248" t="str">
        <f t="shared" si="4"/>
        <v>x</v>
      </c>
      <c r="O14" s="249">
        <f t="shared" si="0"/>
        <v>104</v>
      </c>
      <c r="P14" s="250">
        <f>'Worksheet 2'!P14</f>
        <v>72</v>
      </c>
      <c r="Q14" s="324">
        <f>'Worksheet 2'!Q14</f>
        <v>2.3499999999999996</v>
      </c>
      <c r="R14" s="250">
        <f>'Worksheet 2'!R14</f>
        <v>60</v>
      </c>
      <c r="S14" s="325">
        <f>'Worksheet 2'!S14</f>
        <v>2.7</v>
      </c>
      <c r="T14" s="113">
        <v>0</v>
      </c>
      <c r="U14" s="244">
        <f t="shared" si="5"/>
        <v>1</v>
      </c>
      <c r="V14" s="221" t="str">
        <f>'Worksheet 2'!V14</f>
        <v>HO</v>
      </c>
      <c r="W14" s="221" t="str">
        <f>'Worksheet 2'!W14</f>
        <v>5th Avenue 72</v>
      </c>
      <c r="X14" s="222" t="str">
        <f>'Worksheet 2'!X14</f>
        <v xml:space="preserve">Flameguard 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 t="str">
        <f>'Worksheet 2'!B15</f>
        <v>Clerk</v>
      </c>
      <c r="C15" s="155" t="str">
        <f>'Worksheet 2'!C15</f>
        <v>X</v>
      </c>
      <c r="D15" s="112">
        <f>'Worksheet 2'!D15</f>
        <v>1</v>
      </c>
      <c r="E15" s="113">
        <f>'Worksheet 2'!E15</f>
        <v>0</v>
      </c>
      <c r="F15" s="113">
        <f>'Worksheet 2'!F15</f>
        <v>0</v>
      </c>
      <c r="G15" s="111">
        <f>'Worksheet 2'!G15</f>
        <v>44</v>
      </c>
      <c r="H15" s="114">
        <f>'Worksheet 2'!H15</f>
        <v>3.5</v>
      </c>
      <c r="I15" s="111">
        <f>'Worksheet 2'!I15</f>
        <v>83</v>
      </c>
      <c r="J15" s="245">
        <f t="shared" si="1"/>
        <v>0</v>
      </c>
      <c r="K15" s="245">
        <f t="shared" si="2"/>
        <v>44</v>
      </c>
      <c r="L15" s="246" t="str">
        <f t="shared" si="3"/>
        <v>+</v>
      </c>
      <c r="M15" s="247">
        <f>'Worksheet 2'!M15</f>
        <v>13</v>
      </c>
      <c r="N15" s="248" t="str">
        <f t="shared" si="4"/>
        <v>x</v>
      </c>
      <c r="O15" s="249">
        <f t="shared" si="0"/>
        <v>83</v>
      </c>
      <c r="P15" s="250">
        <f>'Worksheet 2'!P15</f>
        <v>72</v>
      </c>
      <c r="Q15" s="324">
        <f>'Worksheet 2'!Q15</f>
        <v>2</v>
      </c>
      <c r="R15" s="250">
        <f>'Worksheet 2'!R15</f>
        <v>60</v>
      </c>
      <c r="S15" s="325">
        <f>'Worksheet 2'!S15</f>
        <v>2.2999999999999998</v>
      </c>
      <c r="T15" s="113">
        <v>0</v>
      </c>
      <c r="U15" s="244">
        <f t="shared" si="5"/>
        <v>1</v>
      </c>
      <c r="V15" s="221" t="str">
        <f>'Worksheet 2'!V15</f>
        <v>HO</v>
      </c>
      <c r="W15" s="221" t="str">
        <f>'Worksheet 2'!W15</f>
        <v>5th Avenue 72</v>
      </c>
      <c r="X15" s="222" t="str">
        <f>'Worksheet 2'!X15</f>
        <v xml:space="preserve">Flameguard 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 t="str">
        <f>'Worksheet 2'!B16</f>
        <v>Bishop Valencia</v>
      </c>
      <c r="C16" s="155" t="str">
        <f>'Worksheet 2'!C16</f>
        <v>X</v>
      </c>
      <c r="D16" s="112">
        <f>'Worksheet 2'!D16</f>
        <v>1</v>
      </c>
      <c r="E16" s="113">
        <f>'Worksheet 2'!E16</f>
        <v>0</v>
      </c>
      <c r="F16" s="113">
        <f>'Worksheet 2'!F16</f>
        <v>0</v>
      </c>
      <c r="G16" s="111">
        <f>'Worksheet 2'!G16</f>
        <v>44</v>
      </c>
      <c r="H16" s="114">
        <f>'Worksheet 2'!H16</f>
        <v>3.5</v>
      </c>
      <c r="I16" s="111">
        <f>'Worksheet 2'!I16</f>
        <v>83</v>
      </c>
      <c r="J16" s="245">
        <f t="shared" si="1"/>
        <v>0</v>
      </c>
      <c r="K16" s="245">
        <f t="shared" si="2"/>
        <v>44</v>
      </c>
      <c r="L16" s="246" t="str">
        <f t="shared" si="3"/>
        <v>+</v>
      </c>
      <c r="M16" s="247">
        <f>'Worksheet 2'!M16</f>
        <v>13</v>
      </c>
      <c r="N16" s="248" t="str">
        <f t="shared" si="4"/>
        <v>x</v>
      </c>
      <c r="O16" s="249">
        <f t="shared" si="0"/>
        <v>83</v>
      </c>
      <c r="P16" s="250">
        <f>'Worksheet 2'!P16</f>
        <v>72</v>
      </c>
      <c r="Q16" s="324">
        <f>'Worksheet 2'!Q16</f>
        <v>2</v>
      </c>
      <c r="R16" s="250">
        <f>'Worksheet 2'!R16</f>
        <v>60</v>
      </c>
      <c r="S16" s="325">
        <f>'Worksheet 2'!S16</f>
        <v>2.2999999999999998</v>
      </c>
      <c r="T16" s="113">
        <v>0</v>
      </c>
      <c r="U16" s="244">
        <f t="shared" si="5"/>
        <v>1</v>
      </c>
      <c r="V16" s="221" t="str">
        <f>'Worksheet 2'!V16</f>
        <v>HO</v>
      </c>
      <c r="W16" s="221" t="str">
        <f>'Worksheet 2'!W16</f>
        <v>5th Avenue 72</v>
      </c>
      <c r="X16" s="222" t="str">
        <f>'Worksheet 2'!X16</f>
        <v xml:space="preserve">Flameguard 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 t="str">
        <f>'Worksheet 2'!B17</f>
        <v>Chapel</v>
      </c>
      <c r="C17" s="155">
        <f>'Worksheet 2'!C17</f>
        <v>0</v>
      </c>
      <c r="D17" s="112">
        <f>'Worksheet 2'!D17</f>
        <v>1</v>
      </c>
      <c r="E17" s="113">
        <f>'Worksheet 2'!E17</f>
        <v>0</v>
      </c>
      <c r="F17" s="113">
        <f>'Worksheet 2'!F17</f>
        <v>0</v>
      </c>
      <c r="G17" s="111">
        <f>'Worksheet 2'!G17</f>
        <v>40</v>
      </c>
      <c r="H17" s="114">
        <f>'Worksheet 2'!H17</f>
        <v>3.5</v>
      </c>
      <c r="I17" s="111">
        <f>'Worksheet 2'!I17</f>
        <v>144</v>
      </c>
      <c r="J17" s="245">
        <f t="shared" si="1"/>
        <v>0</v>
      </c>
      <c r="K17" s="245">
        <f t="shared" si="2"/>
        <v>40</v>
      </c>
      <c r="L17" s="246" t="str">
        <f t="shared" si="3"/>
        <v>+</v>
      </c>
      <c r="M17" s="247">
        <f>'Worksheet 2'!M17</f>
        <v>13</v>
      </c>
      <c r="N17" s="248" t="str">
        <f t="shared" si="4"/>
        <v>x</v>
      </c>
      <c r="O17" s="249">
        <f t="shared" si="0"/>
        <v>144</v>
      </c>
      <c r="P17" s="250">
        <f>'Worksheet 2'!P17</f>
        <v>60</v>
      </c>
      <c r="Q17" s="324">
        <f>'Worksheet 2'!Q17</f>
        <v>2.25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1</v>
      </c>
      <c r="V17" s="221" t="str">
        <f>'Worksheet 2'!V17</f>
        <v>HO</v>
      </c>
      <c r="W17" s="221" t="str">
        <f>'Worksheet 2'!W17</f>
        <v xml:space="preserve">Liteless 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 t="str">
        <f>'Worksheet 2'!B18</f>
        <v>Chapel</v>
      </c>
      <c r="C18" s="155">
        <f>'Worksheet 2'!C18</f>
        <v>0</v>
      </c>
      <c r="D18" s="112">
        <f>'Worksheet 2'!D18</f>
        <v>1</v>
      </c>
      <c r="E18" s="113">
        <f>'Worksheet 2'!E18</f>
        <v>0</v>
      </c>
      <c r="F18" s="113">
        <f>'Worksheet 2'!F18</f>
        <v>0</v>
      </c>
      <c r="G18" s="111">
        <f>'Worksheet 2'!G18</f>
        <v>40</v>
      </c>
      <c r="H18" s="114">
        <f>'Worksheet 2'!H18</f>
        <v>3.5</v>
      </c>
      <c r="I18" s="111">
        <f>'Worksheet 2'!I18</f>
        <v>144</v>
      </c>
      <c r="J18" s="245">
        <f t="shared" si="1"/>
        <v>0</v>
      </c>
      <c r="K18" s="245">
        <f t="shared" si="2"/>
        <v>40</v>
      </c>
      <c r="L18" s="246" t="str">
        <f t="shared" si="3"/>
        <v>+</v>
      </c>
      <c r="M18" s="247">
        <f>'Worksheet 2'!M18</f>
        <v>13</v>
      </c>
      <c r="N18" s="248" t="str">
        <f t="shared" si="4"/>
        <v>x</v>
      </c>
      <c r="O18" s="249">
        <f t="shared" si="0"/>
        <v>144</v>
      </c>
      <c r="P18" s="250">
        <f>'Worksheet 2'!P18</f>
        <v>60</v>
      </c>
      <c r="Q18" s="324">
        <f>'Worksheet 2'!Q18</f>
        <v>2.25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1</v>
      </c>
      <c r="V18" s="221" t="str">
        <f>'Worksheet 2'!V18</f>
        <v>HO</v>
      </c>
      <c r="W18" s="221" t="str">
        <f>'Worksheet 2'!W18</f>
        <v xml:space="preserve">Liteless 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 t="str">
        <f>'Worksheet 2'!B19</f>
        <v>Chapel</v>
      </c>
      <c r="C19" s="155">
        <f>'Worksheet 2'!C19</f>
        <v>0</v>
      </c>
      <c r="D19" s="112">
        <f>'Worksheet 2'!D19</f>
        <v>1</v>
      </c>
      <c r="E19" s="113">
        <f>'Worksheet 2'!E19</f>
        <v>0</v>
      </c>
      <c r="F19" s="113">
        <f>'Worksheet 2'!F19</f>
        <v>0</v>
      </c>
      <c r="G19" s="111">
        <f>'Worksheet 2'!G19</f>
        <v>40</v>
      </c>
      <c r="H19" s="114">
        <f>'Worksheet 2'!H19</f>
        <v>3.5</v>
      </c>
      <c r="I19" s="111">
        <f>'Worksheet 2'!I19</f>
        <v>144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'Worksheet 2'!M19</f>
        <v>13</v>
      </c>
      <c r="N19" s="248" t="str">
        <f>IF(G19&gt;0,"x",0)</f>
        <v>x</v>
      </c>
      <c r="O19" s="249">
        <f>+I19</f>
        <v>144</v>
      </c>
      <c r="P19" s="250">
        <f>'Worksheet 2'!P19</f>
        <v>60</v>
      </c>
      <c r="Q19" s="324">
        <f>'Worksheet 2'!Q19</f>
        <v>2.25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1</v>
      </c>
      <c r="V19" s="221" t="str">
        <f>'Worksheet 2'!V19</f>
        <v>HO</v>
      </c>
      <c r="W19" s="221" t="str">
        <f>'Worksheet 2'!W19</f>
        <v xml:space="preserve">Liteless 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 t="str">
        <f>'Worksheet 2'!B20</f>
        <v>Chapel</v>
      </c>
      <c r="C20" s="155">
        <f>'Worksheet 2'!C20</f>
        <v>0</v>
      </c>
      <c r="D20" s="112">
        <f>'Worksheet 2'!D20</f>
        <v>1</v>
      </c>
      <c r="E20" s="113">
        <f>'Worksheet 2'!E20</f>
        <v>0</v>
      </c>
      <c r="F20" s="113">
        <f>'Worksheet 2'!F20</f>
        <v>0</v>
      </c>
      <c r="G20" s="111">
        <f>'Worksheet 2'!G20</f>
        <v>40</v>
      </c>
      <c r="H20" s="114">
        <f>'Worksheet 2'!H20</f>
        <v>3.5</v>
      </c>
      <c r="I20" s="111">
        <f>'Worksheet 2'!I20</f>
        <v>144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'Worksheet 2'!M20</f>
        <v>13</v>
      </c>
      <c r="N20" s="248" t="str">
        <f>IF(G20&gt;0,"x",0)</f>
        <v>x</v>
      </c>
      <c r="O20" s="249">
        <f>+I20</f>
        <v>144</v>
      </c>
      <c r="P20" s="250">
        <f>'Worksheet 2'!P20</f>
        <v>60</v>
      </c>
      <c r="Q20" s="324">
        <f>'Worksheet 2'!Q20</f>
        <v>2.25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1</v>
      </c>
      <c r="V20" s="221" t="str">
        <f>'Worksheet 2'!V20</f>
        <v>HO</v>
      </c>
      <c r="W20" s="221" t="str">
        <f>'Worksheet 2'!W20</f>
        <v xml:space="preserve">Liteless 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C9:C10"/>
    <mergeCell ref="P9:P10"/>
    <mergeCell ref="V37:W37"/>
    <mergeCell ref="O1:S1"/>
    <mergeCell ref="P4:Q4"/>
    <mergeCell ref="R4:T4"/>
    <mergeCell ref="W4:X4"/>
    <mergeCell ref="W5:Y5"/>
    <mergeCell ref="Q6:R7"/>
    <mergeCell ref="W6:Y6"/>
  </mergeCells>
  <conditionalFormatting sqref="R4:T4">
    <cfRule type="containsBlanks" dxfId="1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6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7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8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49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0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1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3275AE-3785-4105-B0B9-FC6B43091D84}">
  <dimension ref="A1:Z43"/>
  <sheetViews>
    <sheetView showGridLines="0" showZeros="0" view="pageBreakPreview" zoomScale="90" zoomScaleNormal="80" zoomScaleSheetLayoutView="90" workbookViewId="0">
      <selection activeCell="Y1" sqref="Y1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2" t="s">
        <v>2567</v>
      </c>
      <c r="P1" s="462"/>
      <c r="Q1" s="462"/>
      <c r="R1" s="462"/>
      <c r="S1" s="462"/>
      <c r="T1" s="47"/>
      <c r="U1" s="47"/>
      <c r="V1" s="47"/>
      <c r="X1" s="307" t="s">
        <v>2555</v>
      </c>
      <c r="Y1" s="308">
        <f>'Worksheet 2'!AR1</f>
        <v>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1" t="s">
        <v>2531</v>
      </c>
      <c r="Q4" s="421"/>
      <c r="R4" s="418" t="str">
        <f>'Worksheet 2'!R4</f>
        <v>June 20 2025</v>
      </c>
      <c r="S4" s="418"/>
      <c r="T4" s="418"/>
      <c r="U4" s="171"/>
      <c r="V4" s="254" t="s">
        <v>40</v>
      </c>
      <c r="W4" s="255">
        <f>'Worksheet 2'!W32</f>
        <v>0</v>
      </c>
      <c r="X4" s="255"/>
      <c r="Y4" s="303" t="s">
        <v>2297</v>
      </c>
      <c r="Z4" s="211">
        <f>'Worksheet 2'!Z4</f>
        <v>2</v>
      </c>
    </row>
    <row r="5" spans="1:26" s="53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'Worksheet 2'!W33</f>
        <v>0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'Worksheet 2'!W4</f>
        <v>Windcrest WO#J5121027-00234.01</v>
      </c>
      <c r="O6" s="323"/>
      <c r="P6" s="65"/>
      <c r="Q6" s="339"/>
      <c r="R6" s="340"/>
      <c r="S6" s="57"/>
      <c r="T6" s="171"/>
      <c r="U6" s="75"/>
      <c r="V6" s="163"/>
      <c r="W6" s="163">
        <f>'Worksheet 2'!W34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'Worksheet 2'!W35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P2-21</v>
      </c>
      <c r="B11" s="189" t="str">
        <f>'Worksheet 2'!B11</f>
        <v>RS</v>
      </c>
      <c r="C11" s="155" t="str">
        <f>'Worksheet 2'!C11</f>
        <v>X</v>
      </c>
      <c r="D11" s="112">
        <f>'Worksheet 2'!D11</f>
        <v>1</v>
      </c>
      <c r="E11" s="113">
        <f>'Worksheet 2'!E11</f>
        <v>0</v>
      </c>
      <c r="F11" s="113">
        <f>'Worksheet 2'!F11</f>
        <v>0</v>
      </c>
      <c r="G11" s="111">
        <f>'Worksheet 2'!G11</f>
        <v>60</v>
      </c>
      <c r="H11" s="114">
        <f>'Worksheet 2'!H11</f>
        <v>3.5</v>
      </c>
      <c r="I11" s="111">
        <f>'Worksheet 2'!I11</f>
        <v>104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60</v>
      </c>
      <c r="L11" s="246" t="str">
        <f>IF(F11&gt;"r",0,IF(G11&gt;0,"+",0))</f>
        <v>+</v>
      </c>
      <c r="M11" s="247">
        <f>'Worksheet 2'!M11</f>
        <v>13</v>
      </c>
      <c r="N11" s="248" t="str">
        <f>IF(G11&gt;0,"x",0)</f>
        <v>x</v>
      </c>
      <c r="O11" s="249">
        <f t="shared" ref="O11:O30" si="0">+I11</f>
        <v>104</v>
      </c>
      <c r="P11" s="250">
        <f>'Worksheet 2'!P11</f>
        <v>72</v>
      </c>
      <c r="Q11" s="324">
        <f>'Worksheet 2'!Q11</f>
        <v>2.5499999999999998</v>
      </c>
      <c r="R11" s="250">
        <f>'Worksheet 2'!R11</f>
        <v>60</v>
      </c>
      <c r="S11" s="325">
        <f>'Worksheet 2'!S11</f>
        <v>2.9</v>
      </c>
      <c r="T11" s="113"/>
      <c r="U11" s="244">
        <f>+D11+E11</f>
        <v>1</v>
      </c>
      <c r="V11" s="221" t="str">
        <f>'Worksheet 2'!V11</f>
        <v>HO</v>
      </c>
      <c r="W11" s="221" t="str">
        <f>'Worksheet 2'!W11</f>
        <v>5th Avenue 72</v>
      </c>
      <c r="X11" s="222" t="str">
        <f>'Worksheet 2'!X11</f>
        <v xml:space="preserve">Flameguard </v>
      </c>
      <c r="Y11" s="57">
        <f>'Worksheet 2'!Y11</f>
        <v>0</v>
      </c>
      <c r="Z11" s="115"/>
    </row>
    <row r="12" spans="1:26" s="53" customFormat="1" ht="20.100000000000001" customHeight="1">
      <c r="A12" s="28" t="str">
        <f>HLOOKUP($Z$4,'Data Sheet'!$B$2:$CM$27,3,FALSE)</f>
        <v>P2-22</v>
      </c>
      <c r="B12" s="189" t="str">
        <f>'Worksheet 2'!B12</f>
        <v>RS</v>
      </c>
      <c r="C12" s="155" t="str">
        <f>'Worksheet 2'!C12</f>
        <v>X</v>
      </c>
      <c r="D12" s="112">
        <f>'Worksheet 2'!D12</f>
        <v>1</v>
      </c>
      <c r="E12" s="113">
        <f>'Worksheet 2'!E12</f>
        <v>0</v>
      </c>
      <c r="F12" s="113">
        <f>'Worksheet 2'!F12</f>
        <v>0</v>
      </c>
      <c r="G12" s="111">
        <f>'Worksheet 2'!G12</f>
        <v>60</v>
      </c>
      <c r="H12" s="114">
        <f>'Worksheet 2'!H12</f>
        <v>3.5</v>
      </c>
      <c r="I12" s="111">
        <f>'Worksheet 2'!I12</f>
        <v>104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60</v>
      </c>
      <c r="L12" s="246" t="str">
        <f t="shared" ref="L12:L30" si="3">IF(F12&gt;"r",0,IF(G12&gt;0,"+",0))</f>
        <v>+</v>
      </c>
      <c r="M12" s="247">
        <f>'Worksheet 2'!M12</f>
        <v>13</v>
      </c>
      <c r="N12" s="248" t="str">
        <f t="shared" ref="N12:N30" si="4">IF(G12&gt;0,"x",0)</f>
        <v>x</v>
      </c>
      <c r="O12" s="249">
        <f t="shared" si="0"/>
        <v>104</v>
      </c>
      <c r="P12" s="250">
        <f>'Worksheet 2'!P12</f>
        <v>72</v>
      </c>
      <c r="Q12" s="324">
        <f>'Worksheet 2'!Q12</f>
        <v>2.5499999999999998</v>
      </c>
      <c r="R12" s="250">
        <f>'Worksheet 2'!R12</f>
        <v>60</v>
      </c>
      <c r="S12" s="325">
        <f>'Worksheet 2'!S12</f>
        <v>2.9</v>
      </c>
      <c r="T12" s="113"/>
      <c r="U12" s="244">
        <f t="shared" ref="U12:U30" si="5">+D12+E12</f>
        <v>1</v>
      </c>
      <c r="V12" s="221" t="str">
        <f>'Worksheet 2'!V12</f>
        <v>HO</v>
      </c>
      <c r="W12" s="221" t="str">
        <f>'Worksheet 2'!W12</f>
        <v>5th Avenue 72</v>
      </c>
      <c r="X12" s="222" t="str">
        <f>'Worksheet 2'!X12</f>
        <v xml:space="preserve">Flameguard </v>
      </c>
      <c r="Y12" s="57">
        <f>'Worksheet 2'!Y12</f>
        <v>0</v>
      </c>
      <c r="Z12" s="115"/>
    </row>
    <row r="13" spans="1:26" s="53" customFormat="1" ht="20.100000000000001" customHeight="1">
      <c r="A13" s="28" t="str">
        <f>HLOOKUP($Z$4,'Data Sheet'!$B$2:$CM$27,4,FALSE)</f>
        <v>P2-23</v>
      </c>
      <c r="B13" s="189" t="str">
        <f>'Worksheet 2'!B13</f>
        <v>Primary</v>
      </c>
      <c r="C13" s="155" t="str">
        <f>'Worksheet 2'!C13</f>
        <v>X</v>
      </c>
      <c r="D13" s="112">
        <f>'Worksheet 2'!D13</f>
        <v>1</v>
      </c>
      <c r="E13" s="113">
        <f>'Worksheet 2'!E13</f>
        <v>0</v>
      </c>
      <c r="F13" s="113">
        <f>'Worksheet 2'!F13</f>
        <v>0</v>
      </c>
      <c r="G13" s="111">
        <f>'Worksheet 2'!G13</f>
        <v>54</v>
      </c>
      <c r="H13" s="114">
        <f>'Worksheet 2'!H13</f>
        <v>3.5</v>
      </c>
      <c r="I13" s="111">
        <f>'Worksheet 2'!I13</f>
        <v>104</v>
      </c>
      <c r="J13" s="245">
        <f t="shared" si="1"/>
        <v>0</v>
      </c>
      <c r="K13" s="245">
        <f t="shared" si="2"/>
        <v>54</v>
      </c>
      <c r="L13" s="246" t="str">
        <f t="shared" si="3"/>
        <v>+</v>
      </c>
      <c r="M13" s="247">
        <f>'Worksheet 2'!M13</f>
        <v>13</v>
      </c>
      <c r="N13" s="248" t="str">
        <f t="shared" si="4"/>
        <v>x</v>
      </c>
      <c r="O13" s="249">
        <f t="shared" si="0"/>
        <v>104</v>
      </c>
      <c r="P13" s="250">
        <f>'Worksheet 2'!P13</f>
        <v>72</v>
      </c>
      <c r="Q13" s="324">
        <f>'Worksheet 2'!Q13</f>
        <v>2.3499999999999996</v>
      </c>
      <c r="R13" s="250">
        <f>'Worksheet 2'!R13</f>
        <v>60</v>
      </c>
      <c r="S13" s="325">
        <f>'Worksheet 2'!S13</f>
        <v>2.7</v>
      </c>
      <c r="T13" s="113"/>
      <c r="U13" s="244">
        <f t="shared" si="5"/>
        <v>1</v>
      </c>
      <c r="V13" s="221" t="str">
        <f>'Worksheet 2'!V13</f>
        <v>HO</v>
      </c>
      <c r="W13" s="221" t="str">
        <f>'Worksheet 2'!W13</f>
        <v>5th Avenue 72</v>
      </c>
      <c r="X13" s="222" t="str">
        <f>'Worksheet 2'!X13</f>
        <v xml:space="preserve">Flameguard </v>
      </c>
      <c r="Y13" s="57">
        <f>'Worksheet 2'!Y13</f>
        <v>0</v>
      </c>
      <c r="Z13" s="115"/>
    </row>
    <row r="14" spans="1:26" s="53" customFormat="1" ht="20.100000000000001" customHeight="1">
      <c r="A14" s="28" t="str">
        <f>HLOOKUP($Z$4,'Data Sheet'!$B$2:$CM$27,5,FALSE)</f>
        <v>P2-24</v>
      </c>
      <c r="B14" s="189" t="str">
        <f>'Worksheet 2'!B14</f>
        <v>Primary</v>
      </c>
      <c r="C14" s="155" t="str">
        <f>'Worksheet 2'!C14</f>
        <v>X</v>
      </c>
      <c r="D14" s="112">
        <f>'Worksheet 2'!D14</f>
        <v>1</v>
      </c>
      <c r="E14" s="113">
        <f>'Worksheet 2'!E14</f>
        <v>0</v>
      </c>
      <c r="F14" s="113">
        <f>'Worksheet 2'!F14</f>
        <v>0</v>
      </c>
      <c r="G14" s="111">
        <f>'Worksheet 2'!G14</f>
        <v>54</v>
      </c>
      <c r="H14" s="114">
        <f>'Worksheet 2'!H14</f>
        <v>3.5</v>
      </c>
      <c r="I14" s="111">
        <f>'Worksheet 2'!I14</f>
        <v>104</v>
      </c>
      <c r="J14" s="245">
        <f t="shared" si="1"/>
        <v>0</v>
      </c>
      <c r="K14" s="245">
        <f t="shared" si="2"/>
        <v>54</v>
      </c>
      <c r="L14" s="246" t="str">
        <f t="shared" si="3"/>
        <v>+</v>
      </c>
      <c r="M14" s="247">
        <f>'Worksheet 2'!M14</f>
        <v>13</v>
      </c>
      <c r="N14" s="248" t="str">
        <f t="shared" si="4"/>
        <v>x</v>
      </c>
      <c r="O14" s="249">
        <f t="shared" si="0"/>
        <v>104</v>
      </c>
      <c r="P14" s="250">
        <f>'Worksheet 2'!P14</f>
        <v>72</v>
      </c>
      <c r="Q14" s="324">
        <f>'Worksheet 2'!Q14</f>
        <v>2.3499999999999996</v>
      </c>
      <c r="R14" s="250">
        <f>'Worksheet 2'!R14</f>
        <v>60</v>
      </c>
      <c r="S14" s="325">
        <f>'Worksheet 2'!S14</f>
        <v>2.7</v>
      </c>
      <c r="T14" s="113">
        <v>0</v>
      </c>
      <c r="U14" s="244">
        <f t="shared" si="5"/>
        <v>1</v>
      </c>
      <c r="V14" s="221" t="str">
        <f>'Worksheet 2'!V14</f>
        <v>HO</v>
      </c>
      <c r="W14" s="221" t="str">
        <f>'Worksheet 2'!W14</f>
        <v>5th Avenue 72</v>
      </c>
      <c r="X14" s="222" t="str">
        <f>'Worksheet 2'!X14</f>
        <v xml:space="preserve">Flameguard </v>
      </c>
      <c r="Y14" s="57">
        <f>'Worksheet 2'!Y14</f>
        <v>0</v>
      </c>
      <c r="Z14" s="115"/>
    </row>
    <row r="15" spans="1:26" s="53" customFormat="1" ht="20.100000000000001" customHeight="1">
      <c r="A15" s="28" t="str">
        <f>HLOOKUP($Z$4,'Data Sheet'!$B$2:$CM$27,6,FALSE)</f>
        <v>P2-25</v>
      </c>
      <c r="B15" s="189" t="str">
        <f>'Worksheet 2'!B15</f>
        <v>Clerk</v>
      </c>
      <c r="C15" s="155" t="str">
        <f>'Worksheet 2'!C15</f>
        <v>X</v>
      </c>
      <c r="D15" s="112">
        <f>'Worksheet 2'!D15</f>
        <v>1</v>
      </c>
      <c r="E15" s="113">
        <f>'Worksheet 2'!E15</f>
        <v>0</v>
      </c>
      <c r="F15" s="113">
        <f>'Worksheet 2'!F15</f>
        <v>0</v>
      </c>
      <c r="G15" s="111">
        <f>'Worksheet 2'!G15</f>
        <v>44</v>
      </c>
      <c r="H15" s="114">
        <f>'Worksheet 2'!H15</f>
        <v>3.5</v>
      </c>
      <c r="I15" s="111">
        <f>'Worksheet 2'!I15</f>
        <v>83</v>
      </c>
      <c r="J15" s="245">
        <f t="shared" si="1"/>
        <v>0</v>
      </c>
      <c r="K15" s="245">
        <f t="shared" si="2"/>
        <v>44</v>
      </c>
      <c r="L15" s="246" t="str">
        <f t="shared" si="3"/>
        <v>+</v>
      </c>
      <c r="M15" s="247">
        <f>'Worksheet 2'!M15</f>
        <v>13</v>
      </c>
      <c r="N15" s="248" t="str">
        <f t="shared" si="4"/>
        <v>x</v>
      </c>
      <c r="O15" s="249">
        <f t="shared" si="0"/>
        <v>83</v>
      </c>
      <c r="P15" s="250">
        <f>'Worksheet 2'!P15</f>
        <v>72</v>
      </c>
      <c r="Q15" s="324">
        <f>'Worksheet 2'!Q15</f>
        <v>2</v>
      </c>
      <c r="R15" s="250">
        <f>'Worksheet 2'!R15</f>
        <v>60</v>
      </c>
      <c r="S15" s="325">
        <f>'Worksheet 2'!S15</f>
        <v>2.2999999999999998</v>
      </c>
      <c r="T15" s="113">
        <v>0</v>
      </c>
      <c r="U15" s="244">
        <f t="shared" si="5"/>
        <v>1</v>
      </c>
      <c r="V15" s="221" t="str">
        <f>'Worksheet 2'!V15</f>
        <v>HO</v>
      </c>
      <c r="W15" s="221" t="str">
        <f>'Worksheet 2'!W15</f>
        <v>5th Avenue 72</v>
      </c>
      <c r="X15" s="222" t="str">
        <f>'Worksheet 2'!X15</f>
        <v xml:space="preserve">Flameguard </v>
      </c>
      <c r="Y15" s="57">
        <f>'Worksheet 2'!Y15</f>
        <v>0</v>
      </c>
      <c r="Z15" s="115"/>
    </row>
    <row r="16" spans="1:26" s="53" customFormat="1" ht="20.100000000000001" customHeight="1">
      <c r="A16" s="28" t="str">
        <f>HLOOKUP($Z$4,'Data Sheet'!$B$2:$CM$27,7,FALSE)</f>
        <v>P2-26</v>
      </c>
      <c r="B16" s="189" t="str">
        <f>'Worksheet 2'!B16</f>
        <v>Bishop Valencia</v>
      </c>
      <c r="C16" s="155" t="str">
        <f>'Worksheet 2'!C16</f>
        <v>X</v>
      </c>
      <c r="D16" s="112">
        <f>'Worksheet 2'!D16</f>
        <v>1</v>
      </c>
      <c r="E16" s="113">
        <f>'Worksheet 2'!E16</f>
        <v>0</v>
      </c>
      <c r="F16" s="113">
        <f>'Worksheet 2'!F16</f>
        <v>0</v>
      </c>
      <c r="G16" s="111">
        <f>'Worksheet 2'!G16</f>
        <v>44</v>
      </c>
      <c r="H16" s="114">
        <f>'Worksheet 2'!H16</f>
        <v>3.5</v>
      </c>
      <c r="I16" s="111">
        <f>'Worksheet 2'!I16</f>
        <v>83</v>
      </c>
      <c r="J16" s="245">
        <f t="shared" si="1"/>
        <v>0</v>
      </c>
      <c r="K16" s="245">
        <f t="shared" si="2"/>
        <v>44</v>
      </c>
      <c r="L16" s="246" t="str">
        <f t="shared" si="3"/>
        <v>+</v>
      </c>
      <c r="M16" s="247">
        <f>'Worksheet 2'!M16</f>
        <v>13</v>
      </c>
      <c r="N16" s="248" t="str">
        <f t="shared" si="4"/>
        <v>x</v>
      </c>
      <c r="O16" s="249">
        <f t="shared" si="0"/>
        <v>83</v>
      </c>
      <c r="P16" s="250">
        <f>'Worksheet 2'!P16</f>
        <v>72</v>
      </c>
      <c r="Q16" s="324">
        <f>'Worksheet 2'!Q16</f>
        <v>2</v>
      </c>
      <c r="R16" s="250">
        <f>'Worksheet 2'!R16</f>
        <v>60</v>
      </c>
      <c r="S16" s="325">
        <f>'Worksheet 2'!S16</f>
        <v>2.2999999999999998</v>
      </c>
      <c r="T16" s="113">
        <v>0</v>
      </c>
      <c r="U16" s="244">
        <f t="shared" si="5"/>
        <v>1</v>
      </c>
      <c r="V16" s="221" t="str">
        <f>'Worksheet 2'!V16</f>
        <v>HO</v>
      </c>
      <c r="W16" s="221" t="str">
        <f>'Worksheet 2'!W16</f>
        <v>5th Avenue 72</v>
      </c>
      <c r="X16" s="222" t="str">
        <f>'Worksheet 2'!X16</f>
        <v xml:space="preserve">Flameguard </v>
      </c>
      <c r="Y16" s="57">
        <f>'Worksheet 2'!Y16</f>
        <v>0</v>
      </c>
      <c r="Z16" s="115"/>
    </row>
    <row r="17" spans="1:26" s="53" customFormat="1" ht="20.100000000000001" customHeight="1">
      <c r="A17" s="28" t="str">
        <f>HLOOKUP($Z$4,'Data Sheet'!$B$2:$CM$27,8,FALSE)</f>
        <v>P2-27</v>
      </c>
      <c r="B17" s="189" t="str">
        <f>'Worksheet 2'!B17</f>
        <v>Chapel</v>
      </c>
      <c r="C17" s="155">
        <f>'Worksheet 2'!C17</f>
        <v>0</v>
      </c>
      <c r="D17" s="112">
        <f>'Worksheet 2'!D17</f>
        <v>1</v>
      </c>
      <c r="E17" s="113">
        <f>'Worksheet 2'!E17</f>
        <v>0</v>
      </c>
      <c r="F17" s="113">
        <f>'Worksheet 2'!F17</f>
        <v>0</v>
      </c>
      <c r="G17" s="111">
        <f>'Worksheet 2'!G17</f>
        <v>40</v>
      </c>
      <c r="H17" s="114">
        <f>'Worksheet 2'!H17</f>
        <v>3.5</v>
      </c>
      <c r="I17" s="111">
        <f>'Worksheet 2'!I17</f>
        <v>144</v>
      </c>
      <c r="J17" s="245">
        <f t="shared" si="1"/>
        <v>0</v>
      </c>
      <c r="K17" s="245">
        <f t="shared" si="2"/>
        <v>40</v>
      </c>
      <c r="L17" s="246" t="str">
        <f t="shared" si="3"/>
        <v>+</v>
      </c>
      <c r="M17" s="247">
        <f>'Worksheet 2'!M17</f>
        <v>13</v>
      </c>
      <c r="N17" s="248" t="str">
        <f t="shared" si="4"/>
        <v>x</v>
      </c>
      <c r="O17" s="249">
        <f t="shared" si="0"/>
        <v>144</v>
      </c>
      <c r="P17" s="250">
        <f>'Worksheet 2'!P17</f>
        <v>60</v>
      </c>
      <c r="Q17" s="324">
        <f>'Worksheet 2'!Q17</f>
        <v>2.25</v>
      </c>
      <c r="R17" s="250" t="str">
        <f>'Worksheet 2'!R17</f>
        <v xml:space="preserve"> </v>
      </c>
      <c r="S17" s="325" t="str">
        <f>'Worksheet 2'!S17</f>
        <v xml:space="preserve"> </v>
      </c>
      <c r="T17" s="113">
        <v>0</v>
      </c>
      <c r="U17" s="244">
        <f t="shared" si="5"/>
        <v>1</v>
      </c>
      <c r="V17" s="221" t="str">
        <f>'Worksheet 2'!V17</f>
        <v>HO</v>
      </c>
      <c r="W17" s="221" t="str">
        <f>'Worksheet 2'!W17</f>
        <v xml:space="preserve">Liteless </v>
      </c>
      <c r="X17" s="222">
        <f>'Worksheet 2'!X17</f>
        <v>0</v>
      </c>
      <c r="Y17" s="57">
        <f>'Worksheet 2'!Y17</f>
        <v>0</v>
      </c>
      <c r="Z17" s="115"/>
    </row>
    <row r="18" spans="1:26" s="53" customFormat="1" ht="20.100000000000001" customHeight="1">
      <c r="A18" s="28" t="str">
        <f>HLOOKUP($Z$4,'Data Sheet'!$B$2:$CM$27,9,FALSE)</f>
        <v>P2-28</v>
      </c>
      <c r="B18" s="189" t="str">
        <f>'Worksheet 2'!B18</f>
        <v>Chapel</v>
      </c>
      <c r="C18" s="155">
        <f>'Worksheet 2'!C18</f>
        <v>0</v>
      </c>
      <c r="D18" s="112">
        <f>'Worksheet 2'!D18</f>
        <v>1</v>
      </c>
      <c r="E18" s="113">
        <f>'Worksheet 2'!E18</f>
        <v>0</v>
      </c>
      <c r="F18" s="113">
        <f>'Worksheet 2'!F18</f>
        <v>0</v>
      </c>
      <c r="G18" s="111">
        <f>'Worksheet 2'!G18</f>
        <v>40</v>
      </c>
      <c r="H18" s="114">
        <f>'Worksheet 2'!H18</f>
        <v>3.5</v>
      </c>
      <c r="I18" s="111">
        <f>'Worksheet 2'!I18</f>
        <v>144</v>
      </c>
      <c r="J18" s="245">
        <f t="shared" si="1"/>
        <v>0</v>
      </c>
      <c r="K18" s="245">
        <f t="shared" si="2"/>
        <v>40</v>
      </c>
      <c r="L18" s="246" t="str">
        <f t="shared" si="3"/>
        <v>+</v>
      </c>
      <c r="M18" s="247">
        <f>'Worksheet 2'!M18</f>
        <v>13</v>
      </c>
      <c r="N18" s="248" t="str">
        <f t="shared" si="4"/>
        <v>x</v>
      </c>
      <c r="O18" s="249">
        <f t="shared" si="0"/>
        <v>144</v>
      </c>
      <c r="P18" s="250">
        <f>'Worksheet 2'!P18</f>
        <v>60</v>
      </c>
      <c r="Q18" s="324">
        <f>'Worksheet 2'!Q18</f>
        <v>2.25</v>
      </c>
      <c r="R18" s="250" t="str">
        <f>'Worksheet 2'!R18</f>
        <v xml:space="preserve"> </v>
      </c>
      <c r="S18" s="325" t="str">
        <f>'Worksheet 2'!S18</f>
        <v xml:space="preserve"> </v>
      </c>
      <c r="T18" s="113">
        <v>0</v>
      </c>
      <c r="U18" s="244">
        <f t="shared" si="5"/>
        <v>1</v>
      </c>
      <c r="V18" s="221" t="str">
        <f>'Worksheet 2'!V18</f>
        <v>HO</v>
      </c>
      <c r="W18" s="221" t="str">
        <f>'Worksheet 2'!W18</f>
        <v xml:space="preserve">Liteless </v>
      </c>
      <c r="X18" s="222">
        <f>'Worksheet 2'!X18</f>
        <v>0</v>
      </c>
      <c r="Y18" s="57">
        <f>'Worksheet 2'!Y18</f>
        <v>0</v>
      </c>
      <c r="Z18" s="115"/>
    </row>
    <row r="19" spans="1:26" s="53" customFormat="1" ht="20.100000000000001" customHeight="1">
      <c r="A19" s="28" t="str">
        <f>HLOOKUP($Z$4,'Data Sheet'!$B$2:$CM$27,10,FALSE)</f>
        <v>P2-29</v>
      </c>
      <c r="B19" s="189" t="str">
        <f>'Worksheet 2'!B19</f>
        <v>Chapel</v>
      </c>
      <c r="C19" s="155">
        <f>'Worksheet 2'!C19</f>
        <v>0</v>
      </c>
      <c r="D19" s="112">
        <f>'Worksheet 2'!D19</f>
        <v>1</v>
      </c>
      <c r="E19" s="113">
        <f>'Worksheet 2'!E19</f>
        <v>0</v>
      </c>
      <c r="F19" s="113">
        <f>'Worksheet 2'!F19</f>
        <v>0</v>
      </c>
      <c r="G19" s="111">
        <f>'Worksheet 2'!G19</f>
        <v>40</v>
      </c>
      <c r="H19" s="114">
        <f>'Worksheet 2'!H19</f>
        <v>3.5</v>
      </c>
      <c r="I19" s="111">
        <f>'Worksheet 2'!I19</f>
        <v>144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'Worksheet 2'!M19</f>
        <v>13</v>
      </c>
      <c r="N19" s="248" t="str">
        <f>IF(G19&gt;0,"x",0)</f>
        <v>x</v>
      </c>
      <c r="O19" s="249">
        <f>+I19</f>
        <v>144</v>
      </c>
      <c r="P19" s="250">
        <f>'Worksheet 2'!P19</f>
        <v>60</v>
      </c>
      <c r="Q19" s="324">
        <f>'Worksheet 2'!Q19</f>
        <v>2.25</v>
      </c>
      <c r="R19" s="250" t="str">
        <f>'Worksheet 2'!R19</f>
        <v xml:space="preserve"> </v>
      </c>
      <c r="S19" s="325" t="str">
        <f>'Worksheet 2'!S19</f>
        <v xml:space="preserve"> </v>
      </c>
      <c r="T19" s="113">
        <v>0</v>
      </c>
      <c r="U19" s="244">
        <f t="shared" si="5"/>
        <v>1</v>
      </c>
      <c r="V19" s="221" t="str">
        <f>'Worksheet 2'!V19</f>
        <v>HO</v>
      </c>
      <c r="W19" s="221" t="str">
        <f>'Worksheet 2'!W19</f>
        <v xml:space="preserve">Liteless </v>
      </c>
      <c r="X19" s="222">
        <f>'Worksheet 2'!X19</f>
        <v>0</v>
      </c>
      <c r="Y19" s="57">
        <f>'Worksheet 2'!Y19</f>
        <v>0</v>
      </c>
      <c r="Z19" s="115"/>
    </row>
    <row r="20" spans="1:26" s="53" customFormat="1" ht="20.100000000000001" customHeight="1">
      <c r="A20" s="28" t="str">
        <f>HLOOKUP($Z$4,'Data Sheet'!$B$2:$CM$27,11,FALSE)</f>
        <v>P2-30</v>
      </c>
      <c r="B20" s="189" t="str">
        <f>'Worksheet 2'!B20</f>
        <v>Chapel</v>
      </c>
      <c r="C20" s="155">
        <f>'Worksheet 2'!C20</f>
        <v>0</v>
      </c>
      <c r="D20" s="112">
        <f>'Worksheet 2'!D20</f>
        <v>1</v>
      </c>
      <c r="E20" s="113">
        <f>'Worksheet 2'!E20</f>
        <v>0</v>
      </c>
      <c r="F20" s="113">
        <f>'Worksheet 2'!F20</f>
        <v>0</v>
      </c>
      <c r="G20" s="111">
        <f>'Worksheet 2'!G20</f>
        <v>40</v>
      </c>
      <c r="H20" s="114">
        <f>'Worksheet 2'!H20</f>
        <v>3.5</v>
      </c>
      <c r="I20" s="111">
        <f>'Worksheet 2'!I20</f>
        <v>144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'Worksheet 2'!M20</f>
        <v>13</v>
      </c>
      <c r="N20" s="248" t="str">
        <f>IF(G20&gt;0,"x",0)</f>
        <v>x</v>
      </c>
      <c r="O20" s="249">
        <f>+I20</f>
        <v>144</v>
      </c>
      <c r="P20" s="250">
        <f>'Worksheet 2'!P20</f>
        <v>60</v>
      </c>
      <c r="Q20" s="324">
        <f>'Worksheet 2'!Q20</f>
        <v>2.25</v>
      </c>
      <c r="R20" s="250" t="str">
        <f>'Worksheet 2'!R20</f>
        <v xml:space="preserve"> </v>
      </c>
      <c r="S20" s="325" t="str">
        <f>'Worksheet 2'!S20</f>
        <v xml:space="preserve"> </v>
      </c>
      <c r="T20" s="113">
        <v>0</v>
      </c>
      <c r="U20" s="244">
        <f>+D20+E20</f>
        <v>1</v>
      </c>
      <c r="V20" s="221" t="str">
        <f>'Worksheet 2'!V20</f>
        <v>HO</v>
      </c>
      <c r="W20" s="221" t="str">
        <f>'Worksheet 2'!W20</f>
        <v xml:space="preserve">Liteless </v>
      </c>
      <c r="X20" s="222">
        <f>'Worksheet 2'!X20</f>
        <v>0</v>
      </c>
      <c r="Y20" s="57">
        <f>'Worksheet 2'!Y20</f>
        <v>0</v>
      </c>
      <c r="Z20" s="115"/>
    </row>
    <row r="21" spans="1:26" s="53" customFormat="1" ht="20.100000000000001" customHeight="1">
      <c r="A21" s="28" t="str">
        <f>HLOOKUP($Z$4,'Data Sheet'!$B$2:$CM$27,12,FALSE)</f>
        <v>P2-31</v>
      </c>
      <c r="B21" s="189">
        <f>'Worksheet 2'!B21</f>
        <v>0</v>
      </c>
      <c r="C21" s="155">
        <f>'Worksheet 2'!C21</f>
        <v>0</v>
      </c>
      <c r="D21" s="112">
        <f>'Worksheet 2'!D21</f>
        <v>0</v>
      </c>
      <c r="E21" s="113">
        <f>'Worksheet 2'!E21</f>
        <v>0</v>
      </c>
      <c r="F21" s="113">
        <f>'Worksheet 2'!F21</f>
        <v>0</v>
      </c>
      <c r="G21" s="111">
        <f>'Worksheet 2'!G21</f>
        <v>0</v>
      </c>
      <c r="H21" s="114">
        <f>'Worksheet 2'!H21</f>
        <v>0</v>
      </c>
      <c r="I21" s="111">
        <f>'Worksheet 2'!I21</f>
        <v>0</v>
      </c>
      <c r="J21" s="245">
        <f t="shared" si="1"/>
        <v>0</v>
      </c>
      <c r="K21" s="245">
        <f t="shared" si="2"/>
        <v>0</v>
      </c>
      <c r="L21" s="246">
        <f t="shared" si="3"/>
        <v>0</v>
      </c>
      <c r="M21" s="247">
        <f>'Worksheet 2'!M21</f>
        <v>0</v>
      </c>
      <c r="N21" s="248">
        <f t="shared" si="4"/>
        <v>0</v>
      </c>
      <c r="O21" s="249">
        <f t="shared" si="0"/>
        <v>0</v>
      </c>
      <c r="P21" s="250" t="str">
        <f>'Worksheet 2'!P21</f>
        <v xml:space="preserve"> </v>
      </c>
      <c r="Q21" s="324">
        <f>'Worksheet 2'!Q21</f>
        <v>0</v>
      </c>
      <c r="R21" s="250" t="str">
        <f>'Worksheet 2'!R21</f>
        <v xml:space="preserve"> </v>
      </c>
      <c r="S21" s="325" t="str">
        <f>'Worksheet 2'!S21</f>
        <v xml:space="preserve"> </v>
      </c>
      <c r="T21" s="113">
        <v>0</v>
      </c>
      <c r="U21" s="244">
        <f t="shared" si="5"/>
        <v>0</v>
      </c>
      <c r="V21" s="221">
        <f>'Worksheet 2'!V21</f>
        <v>0</v>
      </c>
      <c r="W21" s="221">
        <f>'Worksheet 2'!W21</f>
        <v>0</v>
      </c>
      <c r="X21" s="222">
        <f>'Worksheet 2'!X21</f>
        <v>0</v>
      </c>
      <c r="Y21" s="57">
        <f>'Worksheet 2'!Y21</f>
        <v>0</v>
      </c>
      <c r="Z21" s="115"/>
    </row>
    <row r="22" spans="1:26" s="53" customFormat="1" ht="20.100000000000001" customHeight="1">
      <c r="A22" s="28" t="str">
        <f>HLOOKUP($Z$4,'Data Sheet'!$B$2:$CM$27,13,FALSE)</f>
        <v>P2-32</v>
      </c>
      <c r="B22" s="189">
        <f>'Worksheet 2'!B22</f>
        <v>0</v>
      </c>
      <c r="C22" s="155">
        <f>'Worksheet 2'!C22</f>
        <v>0</v>
      </c>
      <c r="D22" s="112">
        <f>'Worksheet 2'!D22</f>
        <v>0</v>
      </c>
      <c r="E22" s="113">
        <f>'Worksheet 2'!E22</f>
        <v>0</v>
      </c>
      <c r="F22" s="113">
        <f>'Worksheet 2'!F22</f>
        <v>0</v>
      </c>
      <c r="G22" s="111">
        <f>'Worksheet 2'!G22</f>
        <v>0</v>
      </c>
      <c r="H22" s="114">
        <f>'Worksheet 2'!H22</f>
        <v>0</v>
      </c>
      <c r="I22" s="111">
        <f>'Worksheet 2'!I22</f>
        <v>0</v>
      </c>
      <c r="J22" s="245">
        <f t="shared" si="1"/>
        <v>0</v>
      </c>
      <c r="K22" s="245">
        <f t="shared" si="2"/>
        <v>0</v>
      </c>
      <c r="L22" s="246">
        <f t="shared" si="3"/>
        <v>0</v>
      </c>
      <c r="M22" s="247">
        <f>'Worksheet 2'!M22</f>
        <v>0</v>
      </c>
      <c r="N22" s="248">
        <f t="shared" si="4"/>
        <v>0</v>
      </c>
      <c r="O22" s="249">
        <f t="shared" si="0"/>
        <v>0</v>
      </c>
      <c r="P22" s="250" t="str">
        <f>'Worksheet 2'!P22</f>
        <v xml:space="preserve"> </v>
      </c>
      <c r="Q22" s="324">
        <f>'Worksheet 2'!Q22</f>
        <v>0</v>
      </c>
      <c r="R22" s="250" t="str">
        <f>'Worksheet 2'!R22</f>
        <v xml:space="preserve"> </v>
      </c>
      <c r="S22" s="325" t="str">
        <f>'Worksheet 2'!S22</f>
        <v xml:space="preserve"> </v>
      </c>
      <c r="T22" s="113">
        <v>0</v>
      </c>
      <c r="U22" s="244">
        <f t="shared" si="5"/>
        <v>0</v>
      </c>
      <c r="V22" s="221">
        <f>'Worksheet 2'!V22</f>
        <v>0</v>
      </c>
      <c r="W22" s="221">
        <f>'Worksheet 2'!W22</f>
        <v>0</v>
      </c>
      <c r="X22" s="222">
        <f>'Worksheet 2'!X22</f>
        <v>0</v>
      </c>
      <c r="Y22" s="57">
        <f>'Worksheet 2'!Y22</f>
        <v>0</v>
      </c>
      <c r="Z22" s="115"/>
    </row>
    <row r="23" spans="1:26" s="53" customFormat="1" ht="20.100000000000001" customHeight="1">
      <c r="A23" s="28" t="str">
        <f>HLOOKUP($Z$4,'Data Sheet'!$B$2:$CM$27,14,FALSE)</f>
        <v>P2-33</v>
      </c>
      <c r="B23" s="189">
        <f>'Worksheet 2'!B23</f>
        <v>0</v>
      </c>
      <c r="C23" s="155">
        <f>'Worksheet 2'!C23</f>
        <v>0</v>
      </c>
      <c r="D23" s="112">
        <f>'Worksheet 2'!D23</f>
        <v>0</v>
      </c>
      <c r="E23" s="113">
        <f>'Worksheet 2'!E23</f>
        <v>0</v>
      </c>
      <c r="F23" s="113">
        <f>'Worksheet 2'!F23</f>
        <v>0</v>
      </c>
      <c r="G23" s="111">
        <f>'Worksheet 2'!G23</f>
        <v>0</v>
      </c>
      <c r="H23" s="114">
        <f>'Worksheet 2'!H23</f>
        <v>0</v>
      </c>
      <c r="I23" s="111">
        <f>'Worksheet 2'!I23</f>
        <v>0</v>
      </c>
      <c r="J23" s="245">
        <f t="shared" si="1"/>
        <v>0</v>
      </c>
      <c r="K23" s="245">
        <f t="shared" si="2"/>
        <v>0</v>
      </c>
      <c r="L23" s="246">
        <f t="shared" si="3"/>
        <v>0</v>
      </c>
      <c r="M23" s="247">
        <f>'Worksheet 2'!M23</f>
        <v>0</v>
      </c>
      <c r="N23" s="248">
        <f t="shared" si="4"/>
        <v>0</v>
      </c>
      <c r="O23" s="249">
        <f t="shared" si="0"/>
        <v>0</v>
      </c>
      <c r="P23" s="250" t="str">
        <f>'Worksheet 2'!P23</f>
        <v xml:space="preserve"> </v>
      </c>
      <c r="Q23" s="324">
        <f>'Worksheet 2'!Q23</f>
        <v>0</v>
      </c>
      <c r="R23" s="250" t="str">
        <f>'Worksheet 2'!R23</f>
        <v xml:space="preserve"> </v>
      </c>
      <c r="S23" s="325" t="str">
        <f>'Worksheet 2'!S23</f>
        <v xml:space="preserve"> </v>
      </c>
      <c r="T23" s="113">
        <v>0</v>
      </c>
      <c r="U23" s="244">
        <f t="shared" si="5"/>
        <v>0</v>
      </c>
      <c r="V23" s="221">
        <f>'Worksheet 2'!V23</f>
        <v>0</v>
      </c>
      <c r="W23" s="221">
        <f>'Worksheet 2'!W23</f>
        <v>0</v>
      </c>
      <c r="X23" s="222">
        <f>'Worksheet 2'!X23</f>
        <v>0</v>
      </c>
      <c r="Y23" s="57">
        <f>'Worksheet 2'!Y23</f>
        <v>0</v>
      </c>
      <c r="Z23" s="115"/>
    </row>
    <row r="24" spans="1:26" s="53" customFormat="1" ht="20.100000000000001" customHeight="1">
      <c r="A24" s="28" t="str">
        <f>HLOOKUP($Z$4,'Data Sheet'!$B$2:$CM$27,15,FALSE)</f>
        <v>P2-34</v>
      </c>
      <c r="B24" s="189">
        <f>'Worksheet 2'!B24</f>
        <v>0</v>
      </c>
      <c r="C24" s="155">
        <f>'Worksheet 2'!C24</f>
        <v>0</v>
      </c>
      <c r="D24" s="112">
        <f>'Worksheet 2'!D24</f>
        <v>0</v>
      </c>
      <c r="E24" s="113">
        <f>'Worksheet 2'!E24</f>
        <v>0</v>
      </c>
      <c r="F24" s="113">
        <f>'Worksheet 2'!F24</f>
        <v>0</v>
      </c>
      <c r="G24" s="111">
        <f>'Worksheet 2'!G24</f>
        <v>0</v>
      </c>
      <c r="H24" s="114">
        <f>'Worksheet 2'!H24</f>
        <v>0</v>
      </c>
      <c r="I24" s="111">
        <f>'Worksheet 2'!I24</f>
        <v>0</v>
      </c>
      <c r="J24" s="245">
        <f t="shared" si="1"/>
        <v>0</v>
      </c>
      <c r="K24" s="245">
        <f t="shared" si="2"/>
        <v>0</v>
      </c>
      <c r="L24" s="246">
        <f t="shared" si="3"/>
        <v>0</v>
      </c>
      <c r="M24" s="247">
        <f>'Worksheet 2'!M24</f>
        <v>0</v>
      </c>
      <c r="N24" s="248">
        <f t="shared" si="4"/>
        <v>0</v>
      </c>
      <c r="O24" s="249">
        <f t="shared" si="0"/>
        <v>0</v>
      </c>
      <c r="P24" s="250" t="str">
        <f>'Worksheet 2'!P24</f>
        <v xml:space="preserve"> </v>
      </c>
      <c r="Q24" s="324">
        <f>'Worksheet 2'!Q24</f>
        <v>0</v>
      </c>
      <c r="R24" s="250" t="str">
        <f>'Worksheet 2'!R24</f>
        <v xml:space="preserve"> </v>
      </c>
      <c r="S24" s="325" t="str">
        <f>'Worksheet 2'!S24</f>
        <v xml:space="preserve"> </v>
      </c>
      <c r="T24" s="113">
        <v>0</v>
      </c>
      <c r="U24" s="244">
        <f t="shared" si="5"/>
        <v>0</v>
      </c>
      <c r="V24" s="221">
        <f>'Worksheet 2'!V24</f>
        <v>0</v>
      </c>
      <c r="W24" s="221">
        <f>'Worksheet 2'!W24</f>
        <v>0</v>
      </c>
      <c r="X24" s="222">
        <f>'Worksheet 2'!X24</f>
        <v>0</v>
      </c>
      <c r="Y24" s="57">
        <f>'Worksheet 2'!Y24</f>
        <v>0</v>
      </c>
      <c r="Z24" s="115"/>
    </row>
    <row r="25" spans="1:26" s="53" customFormat="1" ht="20.100000000000001" customHeight="1">
      <c r="A25" s="28" t="str">
        <f>HLOOKUP($Z$4,'Data Sheet'!$B$2:$CM$27,16,FALSE)</f>
        <v>P2-35</v>
      </c>
      <c r="B25" s="189">
        <f>'Worksheet 2'!B25</f>
        <v>0</v>
      </c>
      <c r="C25" s="155">
        <f>'Worksheet 2'!C25</f>
        <v>0</v>
      </c>
      <c r="D25" s="112">
        <f>'Worksheet 2'!D25</f>
        <v>0</v>
      </c>
      <c r="E25" s="113">
        <f>'Worksheet 2'!E25</f>
        <v>0</v>
      </c>
      <c r="F25" s="113">
        <f>'Worksheet 2'!F25</f>
        <v>0</v>
      </c>
      <c r="G25" s="111">
        <f>'Worksheet 2'!G25</f>
        <v>0</v>
      </c>
      <c r="H25" s="114">
        <f>'Worksheet 2'!H25</f>
        <v>0</v>
      </c>
      <c r="I25" s="111">
        <f>'Worksheet 2'!I25</f>
        <v>0</v>
      </c>
      <c r="J25" s="245">
        <f t="shared" si="1"/>
        <v>0</v>
      </c>
      <c r="K25" s="245">
        <f t="shared" si="2"/>
        <v>0</v>
      </c>
      <c r="L25" s="246">
        <f t="shared" si="3"/>
        <v>0</v>
      </c>
      <c r="M25" s="247">
        <f>'Worksheet 2'!M25</f>
        <v>0</v>
      </c>
      <c r="N25" s="248">
        <f t="shared" si="4"/>
        <v>0</v>
      </c>
      <c r="O25" s="249">
        <f t="shared" si="0"/>
        <v>0</v>
      </c>
      <c r="P25" s="250" t="str">
        <f>'Worksheet 2'!P25</f>
        <v xml:space="preserve"> </v>
      </c>
      <c r="Q25" s="324">
        <f>'Worksheet 2'!Q25</f>
        <v>0</v>
      </c>
      <c r="R25" s="250" t="str">
        <f>'Worksheet 2'!R25</f>
        <v xml:space="preserve"> </v>
      </c>
      <c r="S25" s="325" t="str">
        <f>'Worksheet 2'!S25</f>
        <v xml:space="preserve"> </v>
      </c>
      <c r="T25" s="113">
        <v>0</v>
      </c>
      <c r="U25" s="244">
        <f t="shared" si="5"/>
        <v>0</v>
      </c>
      <c r="V25" s="221">
        <f>'Worksheet 2'!V25</f>
        <v>0</v>
      </c>
      <c r="W25" s="221">
        <f>'Worksheet 2'!W25</f>
        <v>0</v>
      </c>
      <c r="X25" s="222">
        <f>'Worksheet 2'!X25</f>
        <v>0</v>
      </c>
      <c r="Y25" s="57">
        <f>'Worksheet 2'!Y25</f>
        <v>0</v>
      </c>
      <c r="Z25" s="115"/>
    </row>
    <row r="26" spans="1:26" s="53" customFormat="1" ht="20.100000000000001" customHeight="1">
      <c r="A26" s="28" t="str">
        <f>HLOOKUP($Z$4,'Data Sheet'!$B$2:$CM$27,17,FALSE)</f>
        <v>P2-36</v>
      </c>
      <c r="B26" s="189">
        <f>'Worksheet 2'!B26</f>
        <v>0</v>
      </c>
      <c r="C26" s="155">
        <f>'Worksheet 2'!C26</f>
        <v>0</v>
      </c>
      <c r="D26" s="112">
        <f>'Worksheet 2'!D26</f>
        <v>0</v>
      </c>
      <c r="E26" s="113">
        <f>'Worksheet 2'!E26</f>
        <v>0</v>
      </c>
      <c r="F26" s="113">
        <f>'Worksheet 2'!F26</f>
        <v>0</v>
      </c>
      <c r="G26" s="111">
        <f>'Worksheet 2'!G26</f>
        <v>0</v>
      </c>
      <c r="H26" s="114">
        <f>'Worksheet 2'!H26</f>
        <v>0</v>
      </c>
      <c r="I26" s="111">
        <f>'Worksheet 2'!I26</f>
        <v>0</v>
      </c>
      <c r="J26" s="245">
        <f t="shared" si="1"/>
        <v>0</v>
      </c>
      <c r="K26" s="245">
        <f t="shared" si="2"/>
        <v>0</v>
      </c>
      <c r="L26" s="246">
        <f t="shared" si="3"/>
        <v>0</v>
      </c>
      <c r="M26" s="247">
        <f>'Worksheet 2'!M26</f>
        <v>0</v>
      </c>
      <c r="N26" s="248">
        <f t="shared" si="4"/>
        <v>0</v>
      </c>
      <c r="O26" s="249">
        <f t="shared" si="0"/>
        <v>0</v>
      </c>
      <c r="P26" s="250" t="str">
        <f>'Worksheet 2'!P26</f>
        <v xml:space="preserve"> </v>
      </c>
      <c r="Q26" s="324">
        <f>'Worksheet 2'!Q26</f>
        <v>0</v>
      </c>
      <c r="R26" s="250" t="str">
        <f>'Worksheet 2'!R26</f>
        <v xml:space="preserve"> </v>
      </c>
      <c r="S26" s="325" t="str">
        <f>'Worksheet 2'!S26</f>
        <v xml:space="preserve"> </v>
      </c>
      <c r="T26" s="113">
        <v>0</v>
      </c>
      <c r="U26" s="244">
        <f t="shared" si="5"/>
        <v>0</v>
      </c>
      <c r="V26" s="221">
        <f>'Worksheet 2'!V26</f>
        <v>0</v>
      </c>
      <c r="W26" s="221">
        <f>'Worksheet 2'!W26</f>
        <v>0</v>
      </c>
      <c r="X26" s="222">
        <f>'Worksheet 2'!X26</f>
        <v>0</v>
      </c>
      <c r="Y26" s="57">
        <f>'Worksheet 2'!Y26</f>
        <v>0</v>
      </c>
      <c r="Z26" s="115"/>
    </row>
    <row r="27" spans="1:26" s="53" customFormat="1" ht="20.100000000000001" customHeight="1">
      <c r="A27" s="28" t="str">
        <f>HLOOKUP($Z$4,'Data Sheet'!$B$2:$CM$27,18,FALSE)</f>
        <v>P2-37</v>
      </c>
      <c r="B27" s="189">
        <f>'Worksheet 2'!B27</f>
        <v>0</v>
      </c>
      <c r="C27" s="155">
        <f>'Worksheet 2'!C27</f>
        <v>0</v>
      </c>
      <c r="D27" s="112">
        <f>'Worksheet 2'!D27</f>
        <v>0</v>
      </c>
      <c r="E27" s="113">
        <f>'Worksheet 2'!E27</f>
        <v>0</v>
      </c>
      <c r="F27" s="113">
        <f>'Worksheet 2'!F27</f>
        <v>0</v>
      </c>
      <c r="G27" s="111">
        <f>'Worksheet 2'!G27</f>
        <v>0</v>
      </c>
      <c r="H27" s="114">
        <f>'Worksheet 2'!H27</f>
        <v>0</v>
      </c>
      <c r="I27" s="111">
        <f>'Worksheet 2'!I27</f>
        <v>0</v>
      </c>
      <c r="J27" s="245">
        <f t="shared" si="1"/>
        <v>0</v>
      </c>
      <c r="K27" s="245">
        <f t="shared" si="2"/>
        <v>0</v>
      </c>
      <c r="L27" s="246">
        <f t="shared" si="3"/>
        <v>0</v>
      </c>
      <c r="M27" s="247">
        <f>'Worksheet 2'!M27</f>
        <v>0</v>
      </c>
      <c r="N27" s="248">
        <f t="shared" si="4"/>
        <v>0</v>
      </c>
      <c r="O27" s="249">
        <f t="shared" si="0"/>
        <v>0</v>
      </c>
      <c r="P27" s="250" t="str">
        <f>'Worksheet 2'!P27</f>
        <v xml:space="preserve"> </v>
      </c>
      <c r="Q27" s="324">
        <f>'Worksheet 2'!Q27</f>
        <v>0</v>
      </c>
      <c r="R27" s="250" t="str">
        <f>'Worksheet 2'!R27</f>
        <v xml:space="preserve"> </v>
      </c>
      <c r="S27" s="325" t="str">
        <f>'Worksheet 2'!S27</f>
        <v xml:space="preserve"> </v>
      </c>
      <c r="T27" s="113">
        <v>0</v>
      </c>
      <c r="U27" s="244">
        <f t="shared" si="5"/>
        <v>0</v>
      </c>
      <c r="V27" s="221">
        <f>'Worksheet 2'!V27</f>
        <v>0</v>
      </c>
      <c r="W27" s="221">
        <f>'Worksheet 2'!W27</f>
        <v>0</v>
      </c>
      <c r="X27" s="222">
        <f>'Worksheet 2'!X27</f>
        <v>0</v>
      </c>
      <c r="Y27" s="57">
        <f>'Worksheet 2'!Y27</f>
        <v>0</v>
      </c>
      <c r="Z27" s="115"/>
    </row>
    <row r="28" spans="1:26" s="53" customFormat="1" ht="20.100000000000001" customHeight="1">
      <c r="A28" s="28" t="str">
        <f>HLOOKUP($Z$4,'Data Sheet'!$B$2:$CM$27,19,FALSE)</f>
        <v>P2-38</v>
      </c>
      <c r="B28" s="189">
        <f>'Worksheet 2'!B28</f>
        <v>0</v>
      </c>
      <c r="C28" s="155">
        <f>'Worksheet 2'!C28</f>
        <v>0</v>
      </c>
      <c r="D28" s="112">
        <f>'Worksheet 2'!D28</f>
        <v>0</v>
      </c>
      <c r="E28" s="113">
        <f>'Worksheet 2'!E28</f>
        <v>0</v>
      </c>
      <c r="F28" s="113">
        <f>'Worksheet 2'!F28</f>
        <v>0</v>
      </c>
      <c r="G28" s="111">
        <f>'Worksheet 2'!G28</f>
        <v>0</v>
      </c>
      <c r="H28" s="114">
        <f>'Worksheet 2'!H28</f>
        <v>0</v>
      </c>
      <c r="I28" s="111">
        <f>'Worksheet 2'!I28</f>
        <v>0</v>
      </c>
      <c r="J28" s="245">
        <f t="shared" si="1"/>
        <v>0</v>
      </c>
      <c r="K28" s="245">
        <f t="shared" si="2"/>
        <v>0</v>
      </c>
      <c r="L28" s="246">
        <f t="shared" si="3"/>
        <v>0</v>
      </c>
      <c r="M28" s="247">
        <f>'Worksheet 2'!M28</f>
        <v>0</v>
      </c>
      <c r="N28" s="248">
        <f t="shared" si="4"/>
        <v>0</v>
      </c>
      <c r="O28" s="249">
        <f t="shared" si="0"/>
        <v>0</v>
      </c>
      <c r="P28" s="250" t="str">
        <f>'Worksheet 2'!P28</f>
        <v xml:space="preserve"> </v>
      </c>
      <c r="Q28" s="324">
        <f>'Worksheet 2'!Q28</f>
        <v>0</v>
      </c>
      <c r="R28" s="250" t="str">
        <f>'Worksheet 2'!R28</f>
        <v xml:space="preserve"> </v>
      </c>
      <c r="S28" s="325" t="str">
        <f>'Worksheet 2'!S28</f>
        <v xml:space="preserve"> </v>
      </c>
      <c r="T28" s="113">
        <v>0</v>
      </c>
      <c r="U28" s="244">
        <f t="shared" si="5"/>
        <v>0</v>
      </c>
      <c r="V28" s="221">
        <f>'Worksheet 2'!V28</f>
        <v>0</v>
      </c>
      <c r="W28" s="221">
        <f>'Worksheet 2'!W28</f>
        <v>0</v>
      </c>
      <c r="X28" s="222">
        <f>'Worksheet 2'!X28</f>
        <v>0</v>
      </c>
      <c r="Y28" s="57">
        <f>'Worksheet 2'!Y28</f>
        <v>0</v>
      </c>
      <c r="Z28" s="115"/>
    </row>
    <row r="29" spans="1:26" s="53" customFormat="1" ht="20.100000000000001" customHeight="1">
      <c r="A29" s="28" t="str">
        <f>HLOOKUP($Z$4,'Data Sheet'!$B$2:$CM$27,20,FALSE)</f>
        <v>P2-39</v>
      </c>
      <c r="B29" s="189">
        <f>'Worksheet 2'!B29</f>
        <v>0</v>
      </c>
      <c r="C29" s="155">
        <f>'Worksheet 2'!C29</f>
        <v>0</v>
      </c>
      <c r="D29" s="112">
        <f>'Worksheet 2'!D29</f>
        <v>0</v>
      </c>
      <c r="E29" s="113">
        <f>'Worksheet 2'!E29</f>
        <v>0</v>
      </c>
      <c r="F29" s="113">
        <f>'Worksheet 2'!F29</f>
        <v>0</v>
      </c>
      <c r="G29" s="111">
        <f>'Worksheet 2'!G29</f>
        <v>0</v>
      </c>
      <c r="H29" s="114">
        <f>'Worksheet 2'!H29</f>
        <v>0</v>
      </c>
      <c r="I29" s="111">
        <f>'Worksheet 2'!I29</f>
        <v>0</v>
      </c>
      <c r="J29" s="245">
        <f t="shared" si="1"/>
        <v>0</v>
      </c>
      <c r="K29" s="245">
        <f t="shared" si="2"/>
        <v>0</v>
      </c>
      <c r="L29" s="246">
        <f t="shared" si="3"/>
        <v>0</v>
      </c>
      <c r="M29" s="247">
        <f>'Worksheet 2'!M29</f>
        <v>0</v>
      </c>
      <c r="N29" s="248">
        <f t="shared" si="4"/>
        <v>0</v>
      </c>
      <c r="O29" s="249">
        <f t="shared" si="0"/>
        <v>0</v>
      </c>
      <c r="P29" s="250" t="str">
        <f>'Worksheet 2'!P29</f>
        <v xml:space="preserve"> </v>
      </c>
      <c r="Q29" s="324">
        <f>'Worksheet 2'!Q29</f>
        <v>0</v>
      </c>
      <c r="R29" s="250" t="str">
        <f>'Worksheet 2'!R29</f>
        <v xml:space="preserve"> </v>
      </c>
      <c r="S29" s="325" t="str">
        <f>'Worksheet 2'!S29</f>
        <v xml:space="preserve"> </v>
      </c>
      <c r="T29" s="113">
        <v>0</v>
      </c>
      <c r="U29" s="244">
        <f t="shared" si="5"/>
        <v>0</v>
      </c>
      <c r="V29" s="221">
        <f>'Worksheet 2'!V29</f>
        <v>0</v>
      </c>
      <c r="W29" s="221">
        <f>'Worksheet 2'!W29</f>
        <v>0</v>
      </c>
      <c r="X29" s="222">
        <f>'Worksheet 2'!X29</f>
        <v>0</v>
      </c>
      <c r="Y29" s="57">
        <f>'Worksheet 2'!Y29</f>
        <v>0</v>
      </c>
      <c r="Z29" s="115"/>
    </row>
    <row r="30" spans="1:26" s="53" customFormat="1" ht="20.100000000000001" customHeight="1">
      <c r="A30" s="28" t="str">
        <f>HLOOKUP($Z$4,'Data Sheet'!$B$2:$CM$27,21,FALSE)</f>
        <v>P2-40</v>
      </c>
      <c r="B30" s="189">
        <f>'Worksheet 2'!B30</f>
        <v>0</v>
      </c>
      <c r="C30" s="155">
        <f>'Worksheet 2'!C30</f>
        <v>0</v>
      </c>
      <c r="D30" s="112">
        <f>'Worksheet 2'!D30</f>
        <v>0</v>
      </c>
      <c r="E30" s="113">
        <f>'Worksheet 2'!E30</f>
        <v>0</v>
      </c>
      <c r="F30" s="113">
        <f>'Worksheet 2'!F30</f>
        <v>0</v>
      </c>
      <c r="G30" s="111">
        <f>'Worksheet 2'!G30</f>
        <v>0</v>
      </c>
      <c r="H30" s="114">
        <f>'Worksheet 2'!H30</f>
        <v>0</v>
      </c>
      <c r="I30" s="111">
        <f>'Worksheet 2'!I30</f>
        <v>0</v>
      </c>
      <c r="J30" s="326">
        <f t="shared" si="1"/>
        <v>0</v>
      </c>
      <c r="K30" s="326">
        <f t="shared" si="2"/>
        <v>0</v>
      </c>
      <c r="L30" s="327">
        <f t="shared" si="3"/>
        <v>0</v>
      </c>
      <c r="M30" s="247">
        <f>'Worksheet 2'!M30</f>
        <v>0</v>
      </c>
      <c r="N30" s="328">
        <f t="shared" si="4"/>
        <v>0</v>
      </c>
      <c r="O30" s="329">
        <f t="shared" si="0"/>
        <v>0</v>
      </c>
      <c r="P30" s="250" t="str">
        <f>'Worksheet 2'!P30</f>
        <v xml:space="preserve"> </v>
      </c>
      <c r="Q30" s="324">
        <f>'Worksheet 2'!Q30</f>
        <v>0</v>
      </c>
      <c r="R30" s="250" t="str">
        <f>'Worksheet 2'!R30</f>
        <v xml:space="preserve"> </v>
      </c>
      <c r="S30" s="325" t="str">
        <f>'Worksheet 2'!S30</f>
        <v xml:space="preserve"> </v>
      </c>
      <c r="T30" s="113">
        <v>0</v>
      </c>
      <c r="U30" s="244">
        <f t="shared" si="5"/>
        <v>0</v>
      </c>
      <c r="V30" s="221">
        <f>'Worksheet 2'!V30</f>
        <v>0</v>
      </c>
      <c r="W30" s="221">
        <f>'Worksheet 2'!W30</f>
        <v>0</v>
      </c>
      <c r="X30" s="222">
        <f>'Worksheet 2'!X30</f>
        <v>0</v>
      </c>
      <c r="Y30" s="110">
        <f>'Worksheet 2'!Y30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2559</v>
      </c>
      <c r="W32" s="333">
        <f>'Worksheet 2'!Z32</f>
        <v>0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>
        <f>'Worksheet 2'!F33</f>
        <v>0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2560</v>
      </c>
      <c r="W33" s="333">
        <f>'Worksheet 2'!Z33</f>
        <v>0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'Worksheet 2'!F34</f>
        <v>0</v>
      </c>
      <c r="G34" s="57"/>
      <c r="H34" s="80"/>
      <c r="O34" s="304" t="s">
        <v>2552</v>
      </c>
      <c r="P34" s="342">
        <f>'Worksheet 2'!O34</f>
        <v>38.599999999999994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'Worksheet 2'!F35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'Worksheet 2'!X37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0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26"/>
  <sheetViews>
    <sheetView workbookViewId="0">
      <selection activeCell="C30" sqref="C30"/>
    </sheetView>
  </sheetViews>
  <sheetFormatPr defaultColWidth="9.140625" defaultRowHeight="12.75"/>
  <cols>
    <col min="1" max="1" width="11.140625" style="9" customWidth="1"/>
    <col min="2" max="2" width="12.28515625" style="9" customWidth="1"/>
    <col min="3" max="3" width="11.140625" style="9" customWidth="1"/>
    <col min="4" max="4" width="9.5703125" style="7" customWidth="1"/>
    <col min="5" max="5" width="12" style="7" customWidth="1"/>
    <col min="6" max="6" width="9.85546875" style="7" customWidth="1"/>
    <col min="7" max="7" width="11" style="8" bestFit="1" customWidth="1"/>
    <col min="8" max="8" width="10.42578125" style="8" bestFit="1" customWidth="1"/>
    <col min="9" max="9" width="13.28515625" style="8" customWidth="1"/>
    <col min="10" max="16384" width="9.140625" style="9"/>
  </cols>
  <sheetData>
    <row r="1" spans="1:10" ht="30">
      <c r="A1" s="6" t="s">
        <v>72</v>
      </c>
      <c r="B1" s="6"/>
      <c r="C1" s="6"/>
    </row>
    <row r="2" spans="1:10">
      <c r="D2" s="7" t="s">
        <v>73</v>
      </c>
      <c r="E2" s="7" t="s">
        <v>74</v>
      </c>
      <c r="I2" s="8" t="s">
        <v>73</v>
      </c>
      <c r="J2" s="9" t="s">
        <v>73</v>
      </c>
    </row>
    <row r="3" spans="1:10">
      <c r="D3" s="7" t="s">
        <v>75</v>
      </c>
      <c r="E3" s="7" t="s">
        <v>76</v>
      </c>
      <c r="F3" s="10" t="s">
        <v>77</v>
      </c>
      <c r="I3" s="8" t="s">
        <v>12</v>
      </c>
      <c r="J3" s="9" t="s">
        <v>90</v>
      </c>
    </row>
    <row r="4" spans="1:10" ht="15.75">
      <c r="A4" s="11" t="s">
        <v>78</v>
      </c>
      <c r="B4" s="11" t="s">
        <v>79</v>
      </c>
      <c r="C4" s="11" t="s">
        <v>80</v>
      </c>
      <c r="D4" s="12" t="s">
        <v>81</v>
      </c>
      <c r="E4" s="12" t="s">
        <v>82</v>
      </c>
      <c r="F4" s="12" t="s">
        <v>52</v>
      </c>
      <c r="G4" s="13" t="s">
        <v>83</v>
      </c>
      <c r="H4" s="13" t="s">
        <v>84</v>
      </c>
      <c r="I4" s="13" t="s">
        <v>85</v>
      </c>
      <c r="J4" s="13" t="s">
        <v>86</v>
      </c>
    </row>
    <row r="5" spans="1:10" ht="15.75">
      <c r="B5" s="9" t="s">
        <v>87</v>
      </c>
      <c r="C5" s="9" t="s">
        <v>88</v>
      </c>
      <c r="G5" s="13"/>
      <c r="H5" s="13"/>
      <c r="I5" s="13"/>
    </row>
    <row r="6" spans="1:10">
      <c r="B6" s="9" t="s">
        <v>52</v>
      </c>
    </row>
    <row r="7" spans="1:10">
      <c r="A7" s="9">
        <v>34</v>
      </c>
      <c r="B7" s="14">
        <v>72</v>
      </c>
      <c r="C7" s="14">
        <v>5</v>
      </c>
      <c r="D7" s="7">
        <f t="shared" ref="D7:D26" si="0">IF(C7&lt;1," ",(((A7*3.1416))/2)+C7*2+2)</f>
        <v>65.407199999999989</v>
      </c>
      <c r="E7" s="7">
        <f t="shared" ref="E7:E26" si="1">IF(C7&lt;1," ",A7/2+10)</f>
        <v>27</v>
      </c>
      <c r="F7" s="7">
        <f t="shared" ref="F7:F26" si="2">IF(C7&lt;1," ",D7*2.5)</f>
        <v>163.51799999999997</v>
      </c>
      <c r="G7" s="8">
        <f t="shared" ref="G7:G26" si="3">IF(C7&lt;1," ",F7/B7)</f>
        <v>2.2710833333333329</v>
      </c>
      <c r="H7" s="8">
        <f t="shared" ref="H7:H26" si="4">IF(C7&lt;1," ",ROUNDUP(G7,0)*E7/36)</f>
        <v>2.25</v>
      </c>
      <c r="I7" s="8">
        <f t="shared" ref="I7:I13" si="5">IF(C7&lt;1," ",200)</f>
        <v>200</v>
      </c>
      <c r="J7" s="7">
        <f t="shared" ref="J7:J26" si="6">IF(C7&lt;1," ",+D7)</f>
        <v>65.407199999999989</v>
      </c>
    </row>
    <row r="8" spans="1:10">
      <c r="A8" s="9">
        <v>36</v>
      </c>
      <c r="B8" s="14">
        <v>72</v>
      </c>
      <c r="C8" s="14">
        <v>5</v>
      </c>
      <c r="D8" s="7">
        <f t="shared" si="0"/>
        <v>68.5488</v>
      </c>
      <c r="E8" s="7">
        <f t="shared" si="1"/>
        <v>28</v>
      </c>
      <c r="F8" s="7">
        <f t="shared" si="2"/>
        <v>171.37200000000001</v>
      </c>
      <c r="G8" s="8">
        <f t="shared" si="3"/>
        <v>2.3801666666666668</v>
      </c>
      <c r="H8" s="8">
        <f t="shared" si="4"/>
        <v>2.3333333333333335</v>
      </c>
      <c r="I8" s="8">
        <f t="shared" si="5"/>
        <v>200</v>
      </c>
      <c r="J8" s="7">
        <f t="shared" si="6"/>
        <v>68.5488</v>
      </c>
    </row>
    <row r="9" spans="1:10">
      <c r="A9" s="9">
        <v>38</v>
      </c>
      <c r="B9" s="14">
        <v>72</v>
      </c>
      <c r="C9" s="14">
        <v>5</v>
      </c>
      <c r="D9" s="7">
        <f t="shared" si="0"/>
        <v>71.690399999999997</v>
      </c>
      <c r="E9" s="7">
        <f t="shared" si="1"/>
        <v>29</v>
      </c>
      <c r="F9" s="7">
        <f t="shared" si="2"/>
        <v>179.226</v>
      </c>
      <c r="G9" s="8">
        <f t="shared" si="3"/>
        <v>2.4892500000000002</v>
      </c>
      <c r="H9" s="8">
        <f t="shared" si="4"/>
        <v>2.4166666666666665</v>
      </c>
      <c r="I9" s="8">
        <f t="shared" si="5"/>
        <v>200</v>
      </c>
      <c r="J9" s="7">
        <f t="shared" si="6"/>
        <v>71.690399999999997</v>
      </c>
    </row>
    <row r="10" spans="1:10">
      <c r="A10" s="9">
        <v>40</v>
      </c>
      <c r="B10" s="14">
        <v>72</v>
      </c>
      <c r="C10" s="14">
        <v>5</v>
      </c>
      <c r="D10" s="7">
        <f t="shared" si="0"/>
        <v>74.831999999999994</v>
      </c>
      <c r="E10" s="7">
        <f t="shared" si="1"/>
        <v>30</v>
      </c>
      <c r="F10" s="7">
        <f t="shared" si="2"/>
        <v>187.07999999999998</v>
      </c>
      <c r="G10" s="8">
        <f t="shared" si="3"/>
        <v>2.5983333333333332</v>
      </c>
      <c r="H10" s="8">
        <f t="shared" si="4"/>
        <v>2.5</v>
      </c>
      <c r="I10" s="8">
        <f t="shared" si="5"/>
        <v>200</v>
      </c>
      <c r="J10" s="7">
        <f t="shared" si="6"/>
        <v>74.831999999999994</v>
      </c>
    </row>
    <row r="11" spans="1:10">
      <c r="A11" s="9">
        <v>42</v>
      </c>
      <c r="B11" s="14">
        <v>72</v>
      </c>
      <c r="C11" s="14">
        <v>5</v>
      </c>
      <c r="D11" s="7">
        <f t="shared" si="0"/>
        <v>77.973600000000005</v>
      </c>
      <c r="E11" s="7">
        <f t="shared" si="1"/>
        <v>31</v>
      </c>
      <c r="F11" s="7">
        <f t="shared" si="2"/>
        <v>194.93400000000003</v>
      </c>
      <c r="G11" s="8">
        <f t="shared" si="3"/>
        <v>2.707416666666667</v>
      </c>
      <c r="H11" s="8">
        <f t="shared" si="4"/>
        <v>2.5833333333333335</v>
      </c>
      <c r="I11" s="8">
        <f t="shared" si="5"/>
        <v>200</v>
      </c>
      <c r="J11" s="7">
        <f t="shared" si="6"/>
        <v>77.973600000000005</v>
      </c>
    </row>
    <row r="12" spans="1:10">
      <c r="A12" s="9">
        <v>44</v>
      </c>
      <c r="B12" s="14">
        <v>72</v>
      </c>
      <c r="C12" s="14">
        <v>5</v>
      </c>
      <c r="D12" s="7">
        <f t="shared" si="0"/>
        <v>81.115200000000002</v>
      </c>
      <c r="E12" s="7">
        <f t="shared" si="1"/>
        <v>32</v>
      </c>
      <c r="F12" s="7">
        <f t="shared" si="2"/>
        <v>202.78800000000001</v>
      </c>
      <c r="G12" s="8">
        <f t="shared" si="3"/>
        <v>2.8165</v>
      </c>
      <c r="H12" s="8">
        <f t="shared" si="4"/>
        <v>2.6666666666666665</v>
      </c>
      <c r="I12" s="8">
        <f t="shared" si="5"/>
        <v>200</v>
      </c>
      <c r="J12" s="7">
        <f t="shared" si="6"/>
        <v>81.115200000000002</v>
      </c>
    </row>
    <row r="13" spans="1:10">
      <c r="A13" s="9">
        <v>46</v>
      </c>
      <c r="B13" s="14">
        <v>72</v>
      </c>
      <c r="C13" s="14">
        <v>5</v>
      </c>
      <c r="D13" s="7">
        <f t="shared" si="0"/>
        <v>84.256799999999998</v>
      </c>
      <c r="E13" s="7">
        <f t="shared" si="1"/>
        <v>33</v>
      </c>
      <c r="F13" s="7">
        <f t="shared" si="2"/>
        <v>210.642</v>
      </c>
      <c r="G13" s="8">
        <f t="shared" si="3"/>
        <v>2.9255833333333334</v>
      </c>
      <c r="H13" s="8">
        <f t="shared" si="4"/>
        <v>2.75</v>
      </c>
      <c r="I13" s="8">
        <f t="shared" si="5"/>
        <v>200</v>
      </c>
      <c r="J13" s="7">
        <f t="shared" si="6"/>
        <v>84.256799999999998</v>
      </c>
    </row>
    <row r="14" spans="1:10">
      <c r="A14" s="9">
        <v>48</v>
      </c>
      <c r="B14" s="14">
        <v>72</v>
      </c>
      <c r="C14" s="14">
        <v>5</v>
      </c>
      <c r="D14" s="7">
        <f t="shared" si="0"/>
        <v>87.398399999999995</v>
      </c>
      <c r="E14" s="7">
        <f t="shared" si="1"/>
        <v>34</v>
      </c>
      <c r="F14" s="7">
        <f t="shared" si="2"/>
        <v>218.49599999999998</v>
      </c>
      <c r="G14" s="8">
        <f t="shared" si="3"/>
        <v>3.0346666666666664</v>
      </c>
      <c r="H14" s="8">
        <f t="shared" si="4"/>
        <v>3.7777777777777777</v>
      </c>
      <c r="I14" s="8">
        <f t="shared" ref="I14:I26" si="7">IF(C14&lt;1," ",250)</f>
        <v>250</v>
      </c>
      <c r="J14" s="7">
        <f t="shared" si="6"/>
        <v>87.398399999999995</v>
      </c>
    </row>
    <row r="15" spans="1:10">
      <c r="A15" s="9">
        <v>50</v>
      </c>
      <c r="B15" s="14">
        <v>72</v>
      </c>
      <c r="C15" s="14">
        <v>5</v>
      </c>
      <c r="D15" s="7">
        <f t="shared" si="0"/>
        <v>90.539999999999992</v>
      </c>
      <c r="E15" s="7">
        <f t="shared" si="1"/>
        <v>35</v>
      </c>
      <c r="F15" s="7">
        <f t="shared" si="2"/>
        <v>226.34999999999997</v>
      </c>
      <c r="G15" s="8">
        <f t="shared" si="3"/>
        <v>3.1437499999999994</v>
      </c>
      <c r="H15" s="8">
        <f t="shared" si="4"/>
        <v>3.8888888888888888</v>
      </c>
      <c r="I15" s="8">
        <f t="shared" si="7"/>
        <v>250</v>
      </c>
      <c r="J15" s="7">
        <f t="shared" si="6"/>
        <v>90.539999999999992</v>
      </c>
    </row>
    <row r="16" spans="1:10">
      <c r="A16" s="9">
        <v>52</v>
      </c>
      <c r="B16" s="14">
        <v>72</v>
      </c>
      <c r="C16" s="14">
        <v>5</v>
      </c>
      <c r="D16" s="7">
        <f t="shared" si="0"/>
        <v>93.681600000000003</v>
      </c>
      <c r="E16" s="7">
        <f t="shared" si="1"/>
        <v>36</v>
      </c>
      <c r="F16" s="7">
        <f t="shared" si="2"/>
        <v>234.20400000000001</v>
      </c>
      <c r="G16" s="8">
        <f t="shared" si="3"/>
        <v>3.2528333333333332</v>
      </c>
      <c r="H16" s="8">
        <f t="shared" si="4"/>
        <v>4</v>
      </c>
      <c r="I16" s="8">
        <f t="shared" si="7"/>
        <v>250</v>
      </c>
      <c r="J16" s="7">
        <f t="shared" si="6"/>
        <v>93.681600000000003</v>
      </c>
    </row>
    <row r="17" spans="1:10">
      <c r="A17" s="9">
        <v>54</v>
      </c>
      <c r="B17" s="14">
        <v>72</v>
      </c>
      <c r="C17" s="14">
        <v>5</v>
      </c>
      <c r="D17" s="7">
        <f t="shared" si="0"/>
        <v>96.8232</v>
      </c>
      <c r="E17" s="7">
        <f t="shared" si="1"/>
        <v>37</v>
      </c>
      <c r="F17" s="7">
        <f t="shared" si="2"/>
        <v>242.05799999999999</v>
      </c>
      <c r="G17" s="8">
        <f t="shared" si="3"/>
        <v>3.3619166666666667</v>
      </c>
      <c r="H17" s="8">
        <f t="shared" si="4"/>
        <v>4.1111111111111107</v>
      </c>
      <c r="I17" s="8">
        <f t="shared" si="7"/>
        <v>250</v>
      </c>
      <c r="J17" s="7">
        <f t="shared" si="6"/>
        <v>96.8232</v>
      </c>
    </row>
    <row r="18" spans="1:10">
      <c r="A18" s="9">
        <v>56</v>
      </c>
      <c r="B18" s="14">
        <v>72</v>
      </c>
      <c r="C18" s="14">
        <v>5</v>
      </c>
      <c r="D18" s="7">
        <f t="shared" si="0"/>
        <v>99.964799999999997</v>
      </c>
      <c r="E18" s="7">
        <f t="shared" si="1"/>
        <v>38</v>
      </c>
      <c r="F18" s="7">
        <f t="shared" si="2"/>
        <v>249.91199999999998</v>
      </c>
      <c r="G18" s="8">
        <f t="shared" si="3"/>
        <v>3.4709999999999996</v>
      </c>
      <c r="H18" s="8">
        <f t="shared" si="4"/>
        <v>4.2222222222222223</v>
      </c>
      <c r="I18" s="8">
        <f t="shared" si="7"/>
        <v>250</v>
      </c>
      <c r="J18" s="7">
        <f t="shared" si="6"/>
        <v>99.964799999999997</v>
      </c>
    </row>
    <row r="19" spans="1:10">
      <c r="A19" s="9">
        <v>58</v>
      </c>
      <c r="B19" s="14">
        <v>72</v>
      </c>
      <c r="C19" s="14">
        <v>5</v>
      </c>
      <c r="D19" s="7">
        <f t="shared" si="0"/>
        <v>103.10639999999999</v>
      </c>
      <c r="E19" s="7">
        <f t="shared" si="1"/>
        <v>39</v>
      </c>
      <c r="F19" s="7">
        <f t="shared" si="2"/>
        <v>257.76599999999996</v>
      </c>
      <c r="G19" s="8">
        <f t="shared" si="3"/>
        <v>3.5800833333333326</v>
      </c>
      <c r="H19" s="8">
        <f t="shared" si="4"/>
        <v>4.333333333333333</v>
      </c>
      <c r="I19" s="8">
        <f t="shared" si="7"/>
        <v>250</v>
      </c>
      <c r="J19" s="7">
        <f t="shared" si="6"/>
        <v>103.10639999999999</v>
      </c>
    </row>
    <row r="20" spans="1:10">
      <c r="A20" s="9">
        <v>60</v>
      </c>
      <c r="B20" s="14">
        <v>72</v>
      </c>
      <c r="C20" s="14">
        <v>5</v>
      </c>
      <c r="D20" s="7">
        <f t="shared" si="0"/>
        <v>106.248</v>
      </c>
      <c r="E20" s="7">
        <f t="shared" si="1"/>
        <v>40</v>
      </c>
      <c r="F20" s="7">
        <f t="shared" si="2"/>
        <v>265.62</v>
      </c>
      <c r="G20" s="8">
        <f t="shared" si="3"/>
        <v>3.6891666666666669</v>
      </c>
      <c r="H20" s="8">
        <f t="shared" si="4"/>
        <v>4.4444444444444446</v>
      </c>
      <c r="I20" s="8">
        <f t="shared" si="7"/>
        <v>250</v>
      </c>
      <c r="J20" s="7">
        <f t="shared" si="6"/>
        <v>106.248</v>
      </c>
    </row>
    <row r="21" spans="1:10">
      <c r="A21" s="9">
        <v>62</v>
      </c>
      <c r="B21" s="14">
        <v>72</v>
      </c>
      <c r="C21" s="14">
        <v>5</v>
      </c>
      <c r="D21" s="7">
        <f t="shared" si="0"/>
        <v>109.3896</v>
      </c>
      <c r="E21" s="7">
        <f t="shared" si="1"/>
        <v>41</v>
      </c>
      <c r="F21" s="7">
        <f t="shared" si="2"/>
        <v>273.47399999999999</v>
      </c>
      <c r="G21" s="8">
        <f t="shared" si="3"/>
        <v>3.7982499999999999</v>
      </c>
      <c r="H21" s="8">
        <f t="shared" si="4"/>
        <v>4.5555555555555554</v>
      </c>
      <c r="I21" s="8">
        <f t="shared" si="7"/>
        <v>250</v>
      </c>
      <c r="J21" s="7">
        <f t="shared" si="6"/>
        <v>109.3896</v>
      </c>
    </row>
    <row r="22" spans="1:10">
      <c r="A22" s="9">
        <v>64</v>
      </c>
      <c r="B22" s="14">
        <v>72</v>
      </c>
      <c r="C22" s="14">
        <v>5</v>
      </c>
      <c r="D22" s="7">
        <f t="shared" si="0"/>
        <v>112.5312</v>
      </c>
      <c r="E22" s="7">
        <f t="shared" si="1"/>
        <v>42</v>
      </c>
      <c r="F22" s="7">
        <f t="shared" si="2"/>
        <v>281.32799999999997</v>
      </c>
      <c r="G22" s="8">
        <f t="shared" si="3"/>
        <v>3.9073333333333329</v>
      </c>
      <c r="H22" s="8">
        <f t="shared" si="4"/>
        <v>4.666666666666667</v>
      </c>
      <c r="I22" s="8">
        <f t="shared" si="7"/>
        <v>250</v>
      </c>
      <c r="J22" s="7">
        <f t="shared" si="6"/>
        <v>112.5312</v>
      </c>
    </row>
    <row r="23" spans="1:10">
      <c r="A23" s="9">
        <v>66</v>
      </c>
      <c r="B23" s="14">
        <v>72</v>
      </c>
      <c r="C23" s="14">
        <v>5</v>
      </c>
      <c r="D23" s="7">
        <f t="shared" si="0"/>
        <v>115.6728</v>
      </c>
      <c r="E23" s="7">
        <f t="shared" si="1"/>
        <v>43</v>
      </c>
      <c r="F23" s="7">
        <f t="shared" si="2"/>
        <v>289.18200000000002</v>
      </c>
      <c r="G23" s="8">
        <f t="shared" si="3"/>
        <v>4.0164166666666672</v>
      </c>
      <c r="H23" s="8">
        <f t="shared" si="4"/>
        <v>5.9722222222222223</v>
      </c>
      <c r="I23" s="8">
        <f t="shared" si="7"/>
        <v>250</v>
      </c>
      <c r="J23" s="7">
        <f t="shared" si="6"/>
        <v>115.6728</v>
      </c>
    </row>
    <row r="24" spans="1:10">
      <c r="A24" s="9">
        <v>68</v>
      </c>
      <c r="B24" s="14">
        <v>72</v>
      </c>
      <c r="C24" s="14">
        <v>5</v>
      </c>
      <c r="D24" s="7">
        <f t="shared" si="0"/>
        <v>118.81439999999999</v>
      </c>
      <c r="E24" s="7">
        <f t="shared" si="1"/>
        <v>44</v>
      </c>
      <c r="F24" s="7">
        <f t="shared" si="2"/>
        <v>297.036</v>
      </c>
      <c r="G24" s="8">
        <f t="shared" si="3"/>
        <v>4.1254999999999997</v>
      </c>
      <c r="H24" s="8">
        <f t="shared" si="4"/>
        <v>6.1111111111111107</v>
      </c>
      <c r="I24" s="8">
        <f t="shared" si="7"/>
        <v>250</v>
      </c>
      <c r="J24" s="7">
        <f t="shared" si="6"/>
        <v>118.81439999999999</v>
      </c>
    </row>
    <row r="25" spans="1:10">
      <c r="A25" s="9">
        <v>70</v>
      </c>
      <c r="B25" s="14">
        <v>72</v>
      </c>
      <c r="C25" s="14">
        <v>5</v>
      </c>
      <c r="D25" s="7">
        <f t="shared" si="0"/>
        <v>121.956</v>
      </c>
      <c r="E25" s="7">
        <f t="shared" si="1"/>
        <v>45</v>
      </c>
      <c r="F25" s="7">
        <f t="shared" si="2"/>
        <v>304.89</v>
      </c>
      <c r="G25" s="8">
        <f t="shared" si="3"/>
        <v>4.2345833333333331</v>
      </c>
      <c r="H25" s="8">
        <f t="shared" si="4"/>
        <v>6.25</v>
      </c>
      <c r="I25" s="8">
        <f t="shared" si="7"/>
        <v>250</v>
      </c>
      <c r="J25" s="7">
        <f t="shared" si="6"/>
        <v>121.956</v>
      </c>
    </row>
    <row r="26" spans="1:10">
      <c r="A26" s="9">
        <v>72</v>
      </c>
      <c r="B26" s="14">
        <v>72</v>
      </c>
      <c r="C26" s="14">
        <v>5</v>
      </c>
      <c r="D26" s="7">
        <f t="shared" si="0"/>
        <v>125.0976</v>
      </c>
      <c r="E26" s="7">
        <f t="shared" si="1"/>
        <v>46</v>
      </c>
      <c r="F26" s="7">
        <f t="shared" si="2"/>
        <v>312.74400000000003</v>
      </c>
      <c r="G26" s="8">
        <f t="shared" si="3"/>
        <v>4.3436666666666675</v>
      </c>
      <c r="H26" s="8">
        <f t="shared" si="4"/>
        <v>6.3888888888888893</v>
      </c>
      <c r="I26" s="8">
        <f t="shared" si="7"/>
        <v>250</v>
      </c>
      <c r="J26" s="7">
        <f t="shared" si="6"/>
        <v>125.0976</v>
      </c>
    </row>
  </sheetData>
  <phoneticPr fontId="8" type="noConversion"/>
  <pageMargins left="0.75" right="0.75" top="1" bottom="1" header="0.5" footer="0.5"/>
  <pageSetup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O50"/>
  <sheetViews>
    <sheetView showGridLines="0" showZeros="0" tabSelected="1" view="pageBreakPreview" topLeftCell="A9" zoomScale="80" zoomScaleNormal="80" zoomScaleSheetLayoutView="80" workbookViewId="0">
      <selection activeCell="AR36" sqref="AR36"/>
    </sheetView>
  </sheetViews>
  <sheetFormatPr defaultRowHeight="15.75"/>
  <cols>
    <col min="1" max="1" width="5.42578125" style="200" customWidth="1"/>
    <col min="2" max="2" width="16.4257812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8.5703125" customWidth="1"/>
    <col min="23" max="23" width="14.42578125" customWidth="1"/>
    <col min="24" max="24" width="14.140625" customWidth="1"/>
    <col min="25" max="25" width="22.42578125" customWidth="1"/>
    <col min="26" max="26" width="10.28515625" customWidth="1"/>
    <col min="27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7" t="str">
        <f>IF(F35&gt;0,"FINAL MEASUREMENTS OK"," ")</f>
        <v xml:space="preserve"> </v>
      </c>
      <c r="O1" s="417"/>
      <c r="P1" s="417"/>
      <c r="Q1" s="417"/>
      <c r="R1" s="417"/>
      <c r="S1" s="417"/>
      <c r="T1" s="417"/>
      <c r="U1" s="47"/>
      <c r="V1" s="47"/>
      <c r="Y1" s="48" t="s">
        <v>0</v>
      </c>
      <c r="AG1" s="46"/>
      <c r="AH1" s="47"/>
      <c r="AI1" s="47"/>
      <c r="AJ1" s="47"/>
      <c r="AK1" s="47"/>
      <c r="AL1" s="49" t="s">
        <v>39</v>
      </c>
      <c r="AM1" s="50"/>
      <c r="AN1" s="51"/>
      <c r="AO1" s="50"/>
      <c r="AP1" s="50"/>
      <c r="AQ1" s="52" t="s">
        <v>120</v>
      </c>
      <c r="AR1" s="413"/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23" t="s">
        <v>2611</v>
      </c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421" t="s">
        <v>2531</v>
      </c>
      <c r="Q4" s="421"/>
      <c r="R4" s="468" t="s">
        <v>2612</v>
      </c>
      <c r="S4" s="468"/>
      <c r="T4" s="468"/>
      <c r="U4" s="171"/>
      <c r="V4" s="69" t="s">
        <v>4</v>
      </c>
      <c r="W4" s="388" t="s">
        <v>2613</v>
      </c>
      <c r="X4" s="255"/>
      <c r="Y4" s="207" t="s">
        <v>2297</v>
      </c>
      <c r="Z4" s="211">
        <v>1</v>
      </c>
      <c r="AB4" s="424" t="s">
        <v>2594</v>
      </c>
      <c r="AC4" s="425"/>
      <c r="AD4" s="425"/>
      <c r="AE4" s="425"/>
      <c r="AF4" s="426"/>
      <c r="AG4" s="390" t="s">
        <v>4</v>
      </c>
      <c r="AH4" s="439" t="str">
        <f>W4</f>
        <v>Windcrest WO#J5121027-00234.01</v>
      </c>
      <c r="AI4" s="439"/>
      <c r="AJ4" s="439"/>
      <c r="AK4" s="439"/>
      <c r="AM4" s="62"/>
      <c r="AN4" s="67"/>
      <c r="AO4" s="62"/>
      <c r="AP4" s="62"/>
      <c r="AQ4" s="70" t="s">
        <v>5</v>
      </c>
      <c r="AR4" s="71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2</v>
      </c>
      <c r="BB4" s="436" t="s">
        <v>2498</v>
      </c>
      <c r="BC4" s="436"/>
      <c r="BD4" s="436"/>
      <c r="BE4" s="436"/>
      <c r="BF4" s="436"/>
      <c r="BG4" s="436"/>
      <c r="BH4" s="436"/>
      <c r="BI4" s="436"/>
      <c r="BJ4" s="436"/>
      <c r="BO4" s="196"/>
    </row>
    <row r="5" spans="1:67" s="53" customFormat="1" ht="15.95" customHeight="1">
      <c r="A5" s="198"/>
      <c r="B5" s="64"/>
      <c r="C5" s="57"/>
      <c r="D5" s="393"/>
      <c r="E5" s="393"/>
      <c r="F5" s="393"/>
      <c r="G5" s="393"/>
      <c r="H5" s="393"/>
      <c r="I5" s="393"/>
      <c r="J5" s="393"/>
      <c r="K5" s="393"/>
      <c r="L5" s="393"/>
      <c r="M5" s="393"/>
      <c r="N5" s="393"/>
      <c r="O5" s="393"/>
      <c r="P5" s="57"/>
      <c r="Q5" s="57"/>
      <c r="R5" s="57"/>
      <c r="T5" s="57"/>
      <c r="U5" s="57"/>
      <c r="V5" s="66"/>
      <c r="W5" s="163" t="s">
        <v>2614</v>
      </c>
      <c r="X5" s="163"/>
      <c r="Y5" s="163"/>
      <c r="Z5" s="66"/>
      <c r="AB5" s="427"/>
      <c r="AC5" s="428"/>
      <c r="AD5" s="428"/>
      <c r="AE5" s="428"/>
      <c r="AF5" s="429"/>
      <c r="AG5" s="72"/>
      <c r="AH5" s="57"/>
      <c r="AI5" s="57"/>
      <c r="AJ5" s="66"/>
      <c r="AK5" s="66"/>
      <c r="AM5" s="62"/>
      <c r="AN5" s="67"/>
      <c r="AO5" s="62"/>
      <c r="AP5" s="62"/>
      <c r="AQ5" s="73"/>
      <c r="AR5" s="74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430"/>
      <c r="E6" s="430"/>
      <c r="F6" s="430"/>
      <c r="G6" s="430"/>
      <c r="H6" s="430"/>
      <c r="I6" s="77" t="s">
        <v>109</v>
      </c>
      <c r="J6" s="431"/>
      <c r="K6" s="431"/>
      <c r="L6" s="431"/>
      <c r="M6" s="431"/>
      <c r="N6" s="431"/>
      <c r="O6" s="431"/>
      <c r="P6" s="57"/>
      <c r="Q6" s="172" t="s">
        <v>91</v>
      </c>
      <c r="R6" s="65"/>
      <c r="S6" s="65"/>
      <c r="T6" s="377"/>
      <c r="U6" s="75"/>
      <c r="V6" s="66"/>
      <c r="W6" s="163" t="s">
        <v>2615</v>
      </c>
      <c r="X6" s="163"/>
      <c r="Y6" s="163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432"/>
      <c r="E7" s="432"/>
      <c r="F7" s="432"/>
      <c r="G7" s="432"/>
      <c r="H7" s="432"/>
      <c r="I7" s="64" t="s">
        <v>111</v>
      </c>
      <c r="J7" s="433"/>
      <c r="K7" s="434"/>
      <c r="L7" s="434"/>
      <c r="M7" s="434"/>
      <c r="N7" s="434"/>
      <c r="O7" s="434"/>
      <c r="P7" s="57"/>
      <c r="Q7" s="79"/>
      <c r="R7" s="57"/>
      <c r="S7" s="57"/>
      <c r="T7" s="57"/>
      <c r="U7" s="75"/>
      <c r="V7" s="66"/>
      <c r="W7" s="78" t="s">
        <v>2616</v>
      </c>
      <c r="X7" s="163"/>
      <c r="Y7" s="163"/>
      <c r="Z7" s="66"/>
      <c r="AD7" s="304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40" t="s">
        <v>67</v>
      </c>
      <c r="AK8" s="441"/>
      <c r="AL8" s="191">
        <v>50</v>
      </c>
      <c r="AM8" s="191">
        <v>15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19" t="s">
        <v>127</v>
      </c>
      <c r="AI9" s="419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0"/>
      <c r="AI10" s="420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2634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P1-1</v>
      </c>
      <c r="B11" s="189" t="s">
        <v>2617</v>
      </c>
      <c r="C11" s="155" t="s">
        <v>122</v>
      </c>
      <c r="D11" s="112">
        <v>1</v>
      </c>
      <c r="E11" s="113"/>
      <c r="F11" s="113"/>
      <c r="G11" s="111">
        <v>40</v>
      </c>
      <c r="H11" s="114">
        <v>3.5</v>
      </c>
      <c r="I11" s="111">
        <v>81.5</v>
      </c>
      <c r="J11" s="245">
        <f>IF(F11="l","left",IF(F11="r","right",IF(F11="f","flat",IF(F11="d","dead",IF(F11="s","sor",IF(F11="st","sor t&amp;b",0))))))</f>
        <v>0</v>
      </c>
      <c r="K11" s="245">
        <f>+G11</f>
        <v>40</v>
      </c>
      <c r="L11" s="246" t="str">
        <f>IF(F11&gt;"r",0,IF(G11&gt;0,"+",0))</f>
        <v>+</v>
      </c>
      <c r="M11" s="247">
        <f t="shared" ref="M11:M30" si="0">IF(F11="F",0,IF(F11&gt;"r",0,AZ11))</f>
        <v>13</v>
      </c>
      <c r="N11" s="248" t="str">
        <f>IF(G11&gt;0,"x",0)</f>
        <v>x</v>
      </c>
      <c r="O11" s="249">
        <f t="shared" ref="O11:O30" si="1">+I11</f>
        <v>81.5</v>
      </c>
      <c r="P11" s="250">
        <f t="shared" ref="P11:P30" si="2">IF($G11&gt;0,VLOOKUP($W11,$BK$12:$BL$40,2,FALSE)," ")</f>
        <v>74</v>
      </c>
      <c r="Q11" s="354">
        <f>IF(D11+E11&gt;0,IF(F11&gt;"u",0,IF(BA11="RR","RR",+BB11)),0)</f>
        <v>1.8</v>
      </c>
      <c r="R11" s="353">
        <f t="shared" ref="R11:R30" si="3">IF($C11&gt;0,VLOOKUP($X11,$BK$28:$BL$40,2,FALSE)," ")</f>
        <v>62</v>
      </c>
      <c r="S11" s="355">
        <f>IF($C11&gt;0,ROUND(IF($R11&lt;59,($K11+$M11)/23,IF($R11&lt;65,($K11+$M11)/25,IF($R11&lt;75,($K11+$M11)/30,"RR"))),1)," ")</f>
        <v>2.1</v>
      </c>
      <c r="T11" s="113"/>
      <c r="U11" s="244">
        <f t="shared" ref="U11:U30" si="4">+D11+E11</f>
        <v>1</v>
      </c>
      <c r="V11" s="221" t="s">
        <v>2618</v>
      </c>
      <c r="W11" s="221" t="s">
        <v>2499</v>
      </c>
      <c r="X11" s="222" t="s">
        <v>159</v>
      </c>
      <c r="Y11" s="57"/>
      <c r="Z11" s="57"/>
      <c r="AA11" s="362">
        <f t="shared" ref="AA11:AA30" si="5">IF(D11+E11&gt;0,IF(F11&gt;"u",0,IF(BA11="RR","RR",ROUND(BA11,1))),0)</f>
        <v>1.8</v>
      </c>
      <c r="AB11" s="357">
        <f t="shared" ref="AB11:AB30" si="6">IF(D11+E11&gt;0,IF(P11&gt;75,BD11,+BC11),0)</f>
        <v>2</v>
      </c>
      <c r="AC11" s="358">
        <f t="shared" ref="AC11:AC30" si="7">IF(D11+E11&gt;0,IF(P11&gt;75,BI11,BE11),0)</f>
        <v>5</v>
      </c>
      <c r="AD11" s="359">
        <f t="shared" ref="AD11:AD30" si="8">IF($C11&gt;0,ROUNDUP((($K11+$M11)/25),0)," ")</f>
        <v>3</v>
      </c>
      <c r="AE11" s="368">
        <f t="shared" ref="AE11:AE30" si="9">IF(C11&gt;0,(O11+10)*AD11/36,0)</f>
        <v>7.625</v>
      </c>
      <c r="AF11" s="57" t="s">
        <v>24</v>
      </c>
      <c r="AG11" s="116">
        <f t="shared" ref="AG11:AG30" si="10">+G11*I11/144*(D11+E11)</f>
        <v>22.638888888888889</v>
      </c>
      <c r="AH11" s="113">
        <v>40</v>
      </c>
      <c r="AI11" s="113">
        <v>12</v>
      </c>
      <c r="AJ11" s="113"/>
      <c r="AK11" s="117"/>
      <c r="AL11" s="259">
        <f t="shared" ref="AL11:AL30" si="11">IF(C11&gt;0,AB11*Lining_Sew_Price)+AB11*sew_price*squeeze</f>
        <v>150</v>
      </c>
      <c r="AM11" s="118">
        <f t="shared" ref="AM11:AM30" si="12">IF($R$34=1,AB11*install_price*squeeze," ")</f>
        <v>30</v>
      </c>
      <c r="AN11" s="260">
        <f t="shared" ref="AN11:AN30" si="13">U11*AJ11*squeeze</f>
        <v>0</v>
      </c>
      <c r="AO11" s="118">
        <f t="shared" ref="AO11:AO30" si="14">AC11*AH11*squeeze</f>
        <v>200</v>
      </c>
      <c r="AP11" s="118">
        <f t="shared" ref="AP11:AP30" si="15">IF(C11&gt;0,AE11*AI11*squeeze," ")</f>
        <v>91.5</v>
      </c>
      <c r="AQ11" s="118">
        <f t="shared" ref="AQ11:AQ30" si="16">+AK11*squeeze</f>
        <v>0</v>
      </c>
      <c r="AR11" s="119">
        <f t="shared" ref="AR11:AR30" si="17">SUM(AL11:AQ11)</f>
        <v>471.5</v>
      </c>
      <c r="AS11" s="184"/>
      <c r="AZ11" s="120">
        <f>IF(AND($D11&gt;0,H11=9),($H11*2)+(3*2),IF(AND($D11&gt;0,H11=6),($H11*2)+(3*2),IF(AND(D11&gt;0,H11&lt;6),($H11*2)+(3*2),IF(AND($E11&gt;0,H11=3.5),$H11+3,IF(AND($E11&gt;0,H11=6),$H11+3,3)))))</f>
        <v>13</v>
      </c>
      <c r="BA11" s="120">
        <f t="shared" ref="BA11:BA30" si="18">IF($P11&gt;77,"RR", (($K11+$M11)*$AE$7)/$P11)</f>
        <v>1.7905405405405406</v>
      </c>
      <c r="BB11" s="120">
        <f>(+ROUNDUP(BA11*2,1))/2</f>
        <v>1.8</v>
      </c>
      <c r="BC11" s="121">
        <f t="shared" ref="BC11:BC31" si="19">(CEILING(AA11,2))*(IF(D11&gt;0,D11,E11))</f>
        <v>2</v>
      </c>
      <c r="BD11" s="121">
        <f t="shared" ref="BD11:BD30" si="20">(ROUND((K11+M11)/20,0))*(IF(D11&gt;0,D11,E11))</f>
        <v>3</v>
      </c>
      <c r="BE11" s="120">
        <f>(ROUNDUP(2*BF11,0))/2</f>
        <v>5</v>
      </c>
      <c r="BF11" s="120">
        <f t="shared" ref="BF11:BF30" si="21">((IF(T11:T116,BH11,BG11))*AA11/36)*(IF(D11&gt;0,D11,E11))</f>
        <v>4.875</v>
      </c>
      <c r="BG11" s="120">
        <f t="shared" ref="BG11:BG30" si="22">I11+16</f>
        <v>97.5</v>
      </c>
      <c r="BH11" s="120" t="e">
        <f t="shared" ref="BH11:BH30" si="23">(ROUNDUP(BG11/T11,0))*T11</f>
        <v>#DIV/0!</v>
      </c>
      <c r="BI11" s="122">
        <f t="shared" ref="BI11:BI30" si="24">(ROUNDUP((K11+M11)*2.75/36,0))*(IF(D11&gt;0,D11,E11))</f>
        <v>5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P1-2</v>
      </c>
      <c r="B12" s="189" t="s">
        <v>2619</v>
      </c>
      <c r="C12" s="155" t="s">
        <v>122</v>
      </c>
      <c r="D12" s="112">
        <v>1</v>
      </c>
      <c r="E12" s="113"/>
      <c r="F12" s="113"/>
      <c r="G12" s="111">
        <v>36</v>
      </c>
      <c r="H12" s="114">
        <v>3.5</v>
      </c>
      <c r="I12" s="111">
        <v>83</v>
      </c>
      <c r="J12" s="245">
        <f t="shared" ref="J12:J30" si="25">IF(F12="l","left",IF(F12="r","right",IF(F12="f","flat",IF(F12="d","dead",IF(F12="s","sor",IF(F12="st","sor t&amp;b",0))))))</f>
        <v>0</v>
      </c>
      <c r="K12" s="245">
        <f t="shared" ref="K12:K30" si="26">+G12</f>
        <v>36</v>
      </c>
      <c r="L12" s="246" t="str">
        <f t="shared" ref="L12:L30" si="27">IF(F12&gt;"r",0,IF(G12&gt;0,"+",0))</f>
        <v>+</v>
      </c>
      <c r="M12" s="247">
        <f t="shared" si="0"/>
        <v>13</v>
      </c>
      <c r="N12" s="248" t="str">
        <f t="shared" ref="N12:N30" si="28">IF(G12&gt;0,"x",0)</f>
        <v>x</v>
      </c>
      <c r="O12" s="249">
        <f t="shared" si="1"/>
        <v>83</v>
      </c>
      <c r="P12" s="250">
        <f t="shared" si="2"/>
        <v>74</v>
      </c>
      <c r="Q12" s="354">
        <f t="shared" ref="Q12:Q30" si="29">IF(D12+E12&gt;0,IF(F12&gt;"u",0,IF(BA12="RR","RR",+BB12)),0)</f>
        <v>1.7</v>
      </c>
      <c r="R12" s="250">
        <f t="shared" si="3"/>
        <v>62</v>
      </c>
      <c r="S12" s="355">
        <f t="shared" ref="S12:S30" si="30">IF($C12&gt;0,ROUND(IF($R12&lt;59,($K12+$M12)/23,IF($R12&lt;65,($K12+$M12)/25,IF($R12&lt;75,($K12+$M12)/30,"RR"))),1)," ")</f>
        <v>2</v>
      </c>
      <c r="T12" s="113"/>
      <c r="U12" s="244">
        <f t="shared" si="4"/>
        <v>1</v>
      </c>
      <c r="V12" s="221" t="s">
        <v>2618</v>
      </c>
      <c r="W12" s="221" t="s">
        <v>2499</v>
      </c>
      <c r="X12" s="222" t="s">
        <v>159</v>
      </c>
      <c r="Y12" s="57"/>
      <c r="Z12" s="57"/>
      <c r="AA12" s="362">
        <f t="shared" si="5"/>
        <v>1.7</v>
      </c>
      <c r="AB12" s="357">
        <f t="shared" si="6"/>
        <v>2</v>
      </c>
      <c r="AC12" s="358">
        <f t="shared" si="7"/>
        <v>5</v>
      </c>
      <c r="AD12" s="359">
        <f t="shared" si="8"/>
        <v>2</v>
      </c>
      <c r="AE12" s="368">
        <f t="shared" si="9"/>
        <v>5.166666666666667</v>
      </c>
      <c r="AF12" s="57" t="s">
        <v>25</v>
      </c>
      <c r="AG12" s="116">
        <f t="shared" si="10"/>
        <v>20.75</v>
      </c>
      <c r="AH12" s="113">
        <v>40</v>
      </c>
      <c r="AI12" s="113">
        <v>12</v>
      </c>
      <c r="AJ12" s="113"/>
      <c r="AK12" s="117"/>
      <c r="AL12" s="259">
        <f t="shared" si="11"/>
        <v>150</v>
      </c>
      <c r="AM12" s="118">
        <f t="shared" si="12"/>
        <v>30</v>
      </c>
      <c r="AN12" s="260">
        <f t="shared" si="13"/>
        <v>0</v>
      </c>
      <c r="AO12" s="118">
        <f t="shared" si="14"/>
        <v>200</v>
      </c>
      <c r="AP12" s="118">
        <f t="shared" si="15"/>
        <v>62</v>
      </c>
      <c r="AQ12" s="118">
        <f t="shared" si="16"/>
        <v>0</v>
      </c>
      <c r="AR12" s="119">
        <f t="shared" si="17"/>
        <v>442</v>
      </c>
      <c r="AS12" s="184"/>
      <c r="AZ12" s="120">
        <f t="shared" ref="AZ12:AZ30" si="31">IF(AND($D12&gt;0,H12=9),($H12*2)+(3*2),IF(AND($D12&gt;0,H12=6),($H12*2)+(3*2),IF(AND(D12&gt;0,H12&lt;6),($H12*2)+(3*2),IF(AND($E12&gt;0,H12=3.5),$H12+3,IF(AND($E12&gt;0,H12=6),$H12+3,3)))))</f>
        <v>13</v>
      </c>
      <c r="BA12" s="120">
        <f t="shared" si="18"/>
        <v>1.6554054054054055</v>
      </c>
      <c r="BB12" s="120">
        <f t="shared" ref="BB12:BB30" si="32">(+ROUNDUP(BA12*2,1))/2</f>
        <v>1.7</v>
      </c>
      <c r="BC12" s="121">
        <f t="shared" si="19"/>
        <v>2</v>
      </c>
      <c r="BD12" s="121">
        <f t="shared" si="20"/>
        <v>2</v>
      </c>
      <c r="BE12" s="120">
        <f t="shared" ref="BE12:BE30" si="33">(ROUNDUP(2*BF12,0))/2</f>
        <v>5</v>
      </c>
      <c r="BF12" s="120">
        <f t="shared" si="21"/>
        <v>4.6749999999999998</v>
      </c>
      <c r="BG12" s="120">
        <f t="shared" si="22"/>
        <v>99</v>
      </c>
      <c r="BH12" s="120" t="e">
        <f t="shared" si="23"/>
        <v>#DIV/0!</v>
      </c>
      <c r="BI12" s="122">
        <f t="shared" si="24"/>
        <v>4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P1-3</v>
      </c>
      <c r="B13" s="189" t="s">
        <v>2619</v>
      </c>
      <c r="C13" s="155" t="s">
        <v>122</v>
      </c>
      <c r="D13" s="112">
        <v>1</v>
      </c>
      <c r="E13" s="113"/>
      <c r="F13" s="113"/>
      <c r="G13" s="111">
        <v>40</v>
      </c>
      <c r="H13" s="114">
        <v>3.5</v>
      </c>
      <c r="I13" s="111">
        <v>83</v>
      </c>
      <c r="J13" s="245">
        <f t="shared" si="25"/>
        <v>0</v>
      </c>
      <c r="K13" s="245">
        <f t="shared" si="26"/>
        <v>40</v>
      </c>
      <c r="L13" s="246" t="str">
        <f t="shared" si="27"/>
        <v>+</v>
      </c>
      <c r="M13" s="247">
        <f t="shared" si="0"/>
        <v>13</v>
      </c>
      <c r="N13" s="248" t="str">
        <f t="shared" si="28"/>
        <v>x</v>
      </c>
      <c r="O13" s="249">
        <f t="shared" si="1"/>
        <v>83</v>
      </c>
      <c r="P13" s="250">
        <f t="shared" si="2"/>
        <v>74</v>
      </c>
      <c r="Q13" s="354">
        <f t="shared" si="29"/>
        <v>1.8</v>
      </c>
      <c r="R13" s="250">
        <f t="shared" si="3"/>
        <v>62</v>
      </c>
      <c r="S13" s="355">
        <f t="shared" si="30"/>
        <v>2.1</v>
      </c>
      <c r="T13" s="113"/>
      <c r="U13" s="244">
        <f t="shared" si="4"/>
        <v>1</v>
      </c>
      <c r="V13" s="221" t="s">
        <v>2618</v>
      </c>
      <c r="W13" s="221" t="s">
        <v>2499</v>
      </c>
      <c r="X13" s="222" t="s">
        <v>159</v>
      </c>
      <c r="Y13" s="57"/>
      <c r="Z13" s="57"/>
      <c r="AA13" s="362">
        <f t="shared" si="5"/>
        <v>1.8</v>
      </c>
      <c r="AB13" s="357">
        <f t="shared" si="6"/>
        <v>2</v>
      </c>
      <c r="AC13" s="358">
        <f t="shared" si="7"/>
        <v>5</v>
      </c>
      <c r="AD13" s="359">
        <f t="shared" si="8"/>
        <v>3</v>
      </c>
      <c r="AE13" s="368">
        <f t="shared" si="9"/>
        <v>7.75</v>
      </c>
      <c r="AF13" s="57" t="s">
        <v>26</v>
      </c>
      <c r="AG13" s="116">
        <f t="shared" si="10"/>
        <v>23.055555555555557</v>
      </c>
      <c r="AH13" s="113">
        <v>40</v>
      </c>
      <c r="AI13" s="113">
        <v>12</v>
      </c>
      <c r="AJ13" s="113"/>
      <c r="AK13" s="117"/>
      <c r="AL13" s="259">
        <f t="shared" si="11"/>
        <v>150</v>
      </c>
      <c r="AM13" s="118">
        <f t="shared" si="12"/>
        <v>30</v>
      </c>
      <c r="AN13" s="260">
        <f t="shared" si="13"/>
        <v>0</v>
      </c>
      <c r="AO13" s="118">
        <f t="shared" si="14"/>
        <v>200</v>
      </c>
      <c r="AP13" s="118">
        <f t="shared" si="15"/>
        <v>93</v>
      </c>
      <c r="AQ13" s="118">
        <f t="shared" si="16"/>
        <v>0</v>
      </c>
      <c r="AR13" s="119">
        <f t="shared" si="17"/>
        <v>473</v>
      </c>
      <c r="AS13" s="184"/>
      <c r="AZ13" s="120">
        <f t="shared" si="31"/>
        <v>13</v>
      </c>
      <c r="BA13" s="120">
        <f t="shared" si="18"/>
        <v>1.7905405405405406</v>
      </c>
      <c r="BB13" s="120">
        <f t="shared" si="32"/>
        <v>1.8</v>
      </c>
      <c r="BC13" s="121">
        <f t="shared" si="19"/>
        <v>2</v>
      </c>
      <c r="BD13" s="121">
        <f t="shared" si="20"/>
        <v>3</v>
      </c>
      <c r="BE13" s="120">
        <f t="shared" si="33"/>
        <v>5</v>
      </c>
      <c r="BF13" s="120">
        <f t="shared" si="21"/>
        <v>4.95</v>
      </c>
      <c r="BG13" s="120">
        <f t="shared" si="22"/>
        <v>99</v>
      </c>
      <c r="BH13" s="120" t="e">
        <f t="shared" si="23"/>
        <v>#DIV/0!</v>
      </c>
      <c r="BI13" s="122">
        <f t="shared" si="24"/>
        <v>5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P1-4</v>
      </c>
      <c r="B14" s="189" t="s">
        <v>2620</v>
      </c>
      <c r="C14" s="155" t="s">
        <v>122</v>
      </c>
      <c r="D14" s="112">
        <v>1</v>
      </c>
      <c r="E14" s="113"/>
      <c r="F14" s="113"/>
      <c r="G14" s="111">
        <v>60</v>
      </c>
      <c r="H14" s="114">
        <v>3.5</v>
      </c>
      <c r="I14" s="111">
        <v>84</v>
      </c>
      <c r="J14" s="245">
        <f t="shared" si="25"/>
        <v>0</v>
      </c>
      <c r="K14" s="245">
        <f t="shared" si="26"/>
        <v>60</v>
      </c>
      <c r="L14" s="246" t="str">
        <f t="shared" si="27"/>
        <v>+</v>
      </c>
      <c r="M14" s="247">
        <f t="shared" si="0"/>
        <v>13</v>
      </c>
      <c r="N14" s="248" t="str">
        <f t="shared" si="28"/>
        <v>x</v>
      </c>
      <c r="O14" s="249">
        <f t="shared" si="1"/>
        <v>84</v>
      </c>
      <c r="P14" s="250">
        <f t="shared" si="2"/>
        <v>74</v>
      </c>
      <c r="Q14" s="354">
        <f t="shared" si="29"/>
        <v>2.5</v>
      </c>
      <c r="R14" s="250">
        <f t="shared" si="3"/>
        <v>62</v>
      </c>
      <c r="S14" s="355">
        <f t="shared" si="30"/>
        <v>2.9</v>
      </c>
      <c r="T14" s="113">
        <v>0</v>
      </c>
      <c r="U14" s="244">
        <f t="shared" si="4"/>
        <v>1</v>
      </c>
      <c r="V14" s="221" t="s">
        <v>2618</v>
      </c>
      <c r="W14" s="221" t="s">
        <v>2499</v>
      </c>
      <c r="X14" s="222" t="s">
        <v>159</v>
      </c>
      <c r="Y14" s="57"/>
      <c r="Z14" s="57"/>
      <c r="AA14" s="362">
        <f t="shared" si="5"/>
        <v>2.5</v>
      </c>
      <c r="AB14" s="357">
        <f t="shared" si="6"/>
        <v>4</v>
      </c>
      <c r="AC14" s="358">
        <f t="shared" si="7"/>
        <v>7</v>
      </c>
      <c r="AD14" s="359">
        <f t="shared" si="8"/>
        <v>3</v>
      </c>
      <c r="AE14" s="368">
        <f t="shared" si="9"/>
        <v>7.833333333333333</v>
      </c>
      <c r="AF14" s="57" t="s">
        <v>27</v>
      </c>
      <c r="AG14" s="116">
        <f t="shared" si="10"/>
        <v>35</v>
      </c>
      <c r="AH14" s="113">
        <v>40</v>
      </c>
      <c r="AI14" s="113">
        <v>12</v>
      </c>
      <c r="AJ14" s="113"/>
      <c r="AK14" s="117"/>
      <c r="AL14" s="259">
        <f t="shared" si="11"/>
        <v>300</v>
      </c>
      <c r="AM14" s="118">
        <f t="shared" si="12"/>
        <v>60</v>
      </c>
      <c r="AN14" s="260">
        <f t="shared" si="13"/>
        <v>0</v>
      </c>
      <c r="AO14" s="118">
        <f t="shared" si="14"/>
        <v>280</v>
      </c>
      <c r="AP14" s="118">
        <f t="shared" si="15"/>
        <v>94</v>
      </c>
      <c r="AQ14" s="118">
        <f t="shared" si="16"/>
        <v>0</v>
      </c>
      <c r="AR14" s="119">
        <f t="shared" si="17"/>
        <v>734</v>
      </c>
      <c r="AS14" s="184"/>
      <c r="AZ14" s="120">
        <f t="shared" si="31"/>
        <v>13</v>
      </c>
      <c r="BA14" s="120">
        <f t="shared" si="18"/>
        <v>2.4662162162162162</v>
      </c>
      <c r="BB14" s="120">
        <f t="shared" si="32"/>
        <v>2.5</v>
      </c>
      <c r="BC14" s="121">
        <f t="shared" si="19"/>
        <v>4</v>
      </c>
      <c r="BD14" s="121">
        <f t="shared" si="20"/>
        <v>4</v>
      </c>
      <c r="BE14" s="120">
        <f t="shared" si="33"/>
        <v>7</v>
      </c>
      <c r="BF14" s="120">
        <f t="shared" si="21"/>
        <v>6.9444444444444446</v>
      </c>
      <c r="BG14" s="120">
        <f t="shared" si="22"/>
        <v>100</v>
      </c>
      <c r="BH14" s="120" t="e">
        <f t="shared" si="23"/>
        <v>#DIV/0!</v>
      </c>
      <c r="BI14" s="122">
        <f t="shared" si="24"/>
        <v>6</v>
      </c>
      <c r="BJ14" s="120"/>
      <c r="BK14" s="156" t="s">
        <v>2499</v>
      </c>
      <c r="BL14" s="157">
        <v>74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P1-5</v>
      </c>
      <c r="B15" s="189" t="s">
        <v>2621</v>
      </c>
      <c r="C15" s="155" t="s">
        <v>122</v>
      </c>
      <c r="D15" s="112">
        <v>1</v>
      </c>
      <c r="E15" s="113"/>
      <c r="F15" s="113"/>
      <c r="G15" s="111">
        <v>60</v>
      </c>
      <c r="H15" s="114">
        <v>3.5</v>
      </c>
      <c r="I15" s="111">
        <v>84</v>
      </c>
      <c r="J15" s="245">
        <f t="shared" si="25"/>
        <v>0</v>
      </c>
      <c r="K15" s="245">
        <f t="shared" si="26"/>
        <v>60</v>
      </c>
      <c r="L15" s="246" t="str">
        <f t="shared" si="27"/>
        <v>+</v>
      </c>
      <c r="M15" s="247">
        <f t="shared" si="0"/>
        <v>13</v>
      </c>
      <c r="N15" s="248" t="str">
        <f t="shared" si="28"/>
        <v>x</v>
      </c>
      <c r="O15" s="249">
        <f t="shared" si="1"/>
        <v>84</v>
      </c>
      <c r="P15" s="250">
        <f t="shared" si="2"/>
        <v>74</v>
      </c>
      <c r="Q15" s="354">
        <f t="shared" si="29"/>
        <v>2.5</v>
      </c>
      <c r="R15" s="250">
        <f t="shared" si="3"/>
        <v>62</v>
      </c>
      <c r="S15" s="355">
        <f t="shared" si="30"/>
        <v>2.9</v>
      </c>
      <c r="T15" s="113">
        <v>0</v>
      </c>
      <c r="U15" s="244">
        <f t="shared" si="4"/>
        <v>1</v>
      </c>
      <c r="V15" s="221" t="s">
        <v>2618</v>
      </c>
      <c r="W15" s="221" t="s">
        <v>2499</v>
      </c>
      <c r="X15" s="222" t="s">
        <v>159</v>
      </c>
      <c r="Y15" s="57"/>
      <c r="Z15" s="57"/>
      <c r="AA15" s="362">
        <f t="shared" si="5"/>
        <v>2.5</v>
      </c>
      <c r="AB15" s="357">
        <f t="shared" si="6"/>
        <v>4</v>
      </c>
      <c r="AC15" s="358">
        <f t="shared" si="7"/>
        <v>7</v>
      </c>
      <c r="AD15" s="359">
        <f t="shared" si="8"/>
        <v>3</v>
      </c>
      <c r="AE15" s="368">
        <f t="shared" si="9"/>
        <v>7.833333333333333</v>
      </c>
      <c r="AF15" s="57" t="s">
        <v>28</v>
      </c>
      <c r="AG15" s="116">
        <f t="shared" si="10"/>
        <v>35</v>
      </c>
      <c r="AH15" s="113">
        <v>40</v>
      </c>
      <c r="AI15" s="113">
        <v>12</v>
      </c>
      <c r="AJ15" s="113"/>
      <c r="AK15" s="117"/>
      <c r="AL15" s="259">
        <f t="shared" si="11"/>
        <v>300</v>
      </c>
      <c r="AM15" s="118">
        <f t="shared" si="12"/>
        <v>60</v>
      </c>
      <c r="AN15" s="260">
        <f t="shared" si="13"/>
        <v>0</v>
      </c>
      <c r="AO15" s="118">
        <f t="shared" si="14"/>
        <v>280</v>
      </c>
      <c r="AP15" s="118">
        <f t="shared" si="15"/>
        <v>94</v>
      </c>
      <c r="AQ15" s="118">
        <f t="shared" si="16"/>
        <v>0</v>
      </c>
      <c r="AR15" s="119">
        <f t="shared" si="17"/>
        <v>734</v>
      </c>
      <c r="AS15" s="184"/>
      <c r="AZ15" s="120">
        <f t="shared" si="31"/>
        <v>13</v>
      </c>
      <c r="BA15" s="120">
        <f t="shared" si="18"/>
        <v>2.4662162162162162</v>
      </c>
      <c r="BB15" s="120">
        <f t="shared" si="32"/>
        <v>2.5</v>
      </c>
      <c r="BC15" s="121">
        <f t="shared" si="19"/>
        <v>4</v>
      </c>
      <c r="BD15" s="121">
        <f t="shared" si="20"/>
        <v>4</v>
      </c>
      <c r="BE15" s="120">
        <f t="shared" si="33"/>
        <v>7</v>
      </c>
      <c r="BF15" s="120">
        <f t="shared" si="21"/>
        <v>6.9444444444444446</v>
      </c>
      <c r="BG15" s="120">
        <f t="shared" si="22"/>
        <v>100</v>
      </c>
      <c r="BH15" s="120" t="e">
        <f t="shared" si="23"/>
        <v>#DIV/0!</v>
      </c>
      <c r="BI15" s="122">
        <f t="shared" si="24"/>
        <v>6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P1-6</v>
      </c>
      <c r="B16" s="189" t="s">
        <v>2622</v>
      </c>
      <c r="C16" s="155" t="s">
        <v>122</v>
      </c>
      <c r="D16" s="112">
        <v>1</v>
      </c>
      <c r="E16" s="113"/>
      <c r="F16" s="113"/>
      <c r="G16" s="111">
        <v>54</v>
      </c>
      <c r="H16" s="114">
        <v>3.5</v>
      </c>
      <c r="I16" s="111">
        <v>84</v>
      </c>
      <c r="J16" s="245">
        <f t="shared" si="25"/>
        <v>0</v>
      </c>
      <c r="K16" s="245">
        <f t="shared" si="26"/>
        <v>54</v>
      </c>
      <c r="L16" s="246" t="str">
        <f t="shared" si="27"/>
        <v>+</v>
      </c>
      <c r="M16" s="247">
        <f t="shared" si="0"/>
        <v>13</v>
      </c>
      <c r="N16" s="248" t="str">
        <f t="shared" si="28"/>
        <v>x</v>
      </c>
      <c r="O16" s="249">
        <f t="shared" si="1"/>
        <v>84</v>
      </c>
      <c r="P16" s="250">
        <f t="shared" si="2"/>
        <v>74</v>
      </c>
      <c r="Q16" s="354">
        <f t="shared" si="29"/>
        <v>2.2999999999999998</v>
      </c>
      <c r="R16" s="250">
        <f t="shared" si="3"/>
        <v>62</v>
      </c>
      <c r="S16" s="355">
        <f t="shared" si="30"/>
        <v>2.7</v>
      </c>
      <c r="T16" s="113">
        <v>0</v>
      </c>
      <c r="U16" s="244">
        <f t="shared" si="4"/>
        <v>1</v>
      </c>
      <c r="V16" s="221" t="s">
        <v>2618</v>
      </c>
      <c r="W16" s="221" t="s">
        <v>2499</v>
      </c>
      <c r="X16" s="222" t="s">
        <v>159</v>
      </c>
      <c r="Y16" s="57"/>
      <c r="Z16" s="57"/>
      <c r="AA16" s="362">
        <f t="shared" si="5"/>
        <v>2.2999999999999998</v>
      </c>
      <c r="AB16" s="357">
        <f t="shared" si="6"/>
        <v>4</v>
      </c>
      <c r="AC16" s="358">
        <f t="shared" si="7"/>
        <v>6.5</v>
      </c>
      <c r="AD16" s="359">
        <f t="shared" si="8"/>
        <v>3</v>
      </c>
      <c r="AE16" s="368">
        <f t="shared" si="9"/>
        <v>7.833333333333333</v>
      </c>
      <c r="AF16" s="57" t="s">
        <v>29</v>
      </c>
      <c r="AG16" s="116">
        <f t="shared" si="10"/>
        <v>31.5</v>
      </c>
      <c r="AH16" s="113">
        <v>40</v>
      </c>
      <c r="AI16" s="113">
        <v>12</v>
      </c>
      <c r="AJ16" s="113"/>
      <c r="AK16" s="117"/>
      <c r="AL16" s="259">
        <f t="shared" si="11"/>
        <v>300</v>
      </c>
      <c r="AM16" s="118">
        <f t="shared" si="12"/>
        <v>60</v>
      </c>
      <c r="AN16" s="260">
        <f t="shared" si="13"/>
        <v>0</v>
      </c>
      <c r="AO16" s="118">
        <f t="shared" si="14"/>
        <v>260</v>
      </c>
      <c r="AP16" s="118">
        <f t="shared" si="15"/>
        <v>94</v>
      </c>
      <c r="AQ16" s="118">
        <f t="shared" si="16"/>
        <v>0</v>
      </c>
      <c r="AR16" s="119">
        <f t="shared" si="17"/>
        <v>714</v>
      </c>
      <c r="AS16" s="184"/>
      <c r="AZ16" s="120">
        <f t="shared" si="31"/>
        <v>13</v>
      </c>
      <c r="BA16" s="120">
        <f t="shared" si="18"/>
        <v>2.2635135135135136</v>
      </c>
      <c r="BB16" s="120">
        <f t="shared" si="32"/>
        <v>2.2999999999999998</v>
      </c>
      <c r="BC16" s="121">
        <f t="shared" si="19"/>
        <v>4</v>
      </c>
      <c r="BD16" s="121">
        <f t="shared" si="20"/>
        <v>3</v>
      </c>
      <c r="BE16" s="120">
        <f t="shared" si="33"/>
        <v>6.5</v>
      </c>
      <c r="BF16" s="120">
        <f t="shared" si="21"/>
        <v>6.3888888888888884</v>
      </c>
      <c r="BG16" s="120">
        <f t="shared" si="22"/>
        <v>100</v>
      </c>
      <c r="BH16" s="120" t="e">
        <f t="shared" si="23"/>
        <v>#DIV/0!</v>
      </c>
      <c r="BI16" s="122">
        <f t="shared" si="24"/>
        <v>6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P1-7</v>
      </c>
      <c r="B17" s="189" t="s">
        <v>2623</v>
      </c>
      <c r="C17" s="155" t="s">
        <v>122</v>
      </c>
      <c r="D17" s="112">
        <v>1</v>
      </c>
      <c r="E17" s="113"/>
      <c r="F17" s="113"/>
      <c r="G17" s="111">
        <v>60</v>
      </c>
      <c r="H17" s="114">
        <v>3.5</v>
      </c>
      <c r="I17" s="111">
        <v>82</v>
      </c>
      <c r="J17" s="245">
        <f t="shared" si="25"/>
        <v>0</v>
      </c>
      <c r="K17" s="245">
        <f t="shared" si="26"/>
        <v>60</v>
      </c>
      <c r="L17" s="246" t="str">
        <f t="shared" si="27"/>
        <v>+</v>
      </c>
      <c r="M17" s="247">
        <f t="shared" si="0"/>
        <v>13</v>
      </c>
      <c r="N17" s="248" t="str">
        <f t="shared" si="28"/>
        <v>x</v>
      </c>
      <c r="O17" s="249">
        <f t="shared" si="1"/>
        <v>82</v>
      </c>
      <c r="P17" s="250">
        <f t="shared" si="2"/>
        <v>74</v>
      </c>
      <c r="Q17" s="354">
        <f t="shared" si="29"/>
        <v>2.5</v>
      </c>
      <c r="R17" s="250">
        <f t="shared" si="3"/>
        <v>62</v>
      </c>
      <c r="S17" s="355">
        <f t="shared" si="30"/>
        <v>2.9</v>
      </c>
      <c r="T17" s="113">
        <v>0</v>
      </c>
      <c r="U17" s="244">
        <f t="shared" si="4"/>
        <v>1</v>
      </c>
      <c r="V17" s="221" t="s">
        <v>2618</v>
      </c>
      <c r="W17" s="221" t="s">
        <v>2499</v>
      </c>
      <c r="X17" s="222" t="s">
        <v>159</v>
      </c>
      <c r="Y17" s="57"/>
      <c r="Z17" s="57"/>
      <c r="AA17" s="362">
        <f t="shared" si="5"/>
        <v>2.5</v>
      </c>
      <c r="AB17" s="357">
        <f t="shared" si="6"/>
        <v>4</v>
      </c>
      <c r="AC17" s="358">
        <f t="shared" si="7"/>
        <v>7</v>
      </c>
      <c r="AD17" s="359">
        <f t="shared" si="8"/>
        <v>3</v>
      </c>
      <c r="AE17" s="368">
        <f t="shared" si="9"/>
        <v>7.666666666666667</v>
      </c>
      <c r="AF17" s="57" t="s">
        <v>30</v>
      </c>
      <c r="AG17" s="116">
        <f t="shared" si="10"/>
        <v>34.166666666666664</v>
      </c>
      <c r="AH17" s="113">
        <v>40</v>
      </c>
      <c r="AI17" s="113">
        <v>12</v>
      </c>
      <c r="AJ17" s="113"/>
      <c r="AK17" s="117"/>
      <c r="AL17" s="259">
        <f t="shared" si="11"/>
        <v>300</v>
      </c>
      <c r="AM17" s="118">
        <f t="shared" si="12"/>
        <v>60</v>
      </c>
      <c r="AN17" s="260">
        <f t="shared" si="13"/>
        <v>0</v>
      </c>
      <c r="AO17" s="118">
        <f t="shared" si="14"/>
        <v>280</v>
      </c>
      <c r="AP17" s="118">
        <f t="shared" si="15"/>
        <v>92</v>
      </c>
      <c r="AQ17" s="118">
        <f t="shared" si="16"/>
        <v>0</v>
      </c>
      <c r="AR17" s="119">
        <f t="shared" si="17"/>
        <v>732</v>
      </c>
      <c r="AS17" s="184"/>
      <c r="AZ17" s="120">
        <f t="shared" si="31"/>
        <v>13</v>
      </c>
      <c r="BA17" s="120">
        <f t="shared" si="18"/>
        <v>2.4662162162162162</v>
      </c>
      <c r="BB17" s="120">
        <f t="shared" si="32"/>
        <v>2.5</v>
      </c>
      <c r="BC17" s="121">
        <f t="shared" si="19"/>
        <v>4</v>
      </c>
      <c r="BD17" s="121">
        <f t="shared" si="20"/>
        <v>4</v>
      </c>
      <c r="BE17" s="120">
        <f t="shared" si="33"/>
        <v>7</v>
      </c>
      <c r="BF17" s="120">
        <f t="shared" si="21"/>
        <v>6.8055555555555554</v>
      </c>
      <c r="BG17" s="120">
        <f t="shared" si="22"/>
        <v>98</v>
      </c>
      <c r="BH17" s="120" t="e">
        <f t="shared" si="23"/>
        <v>#DIV/0!</v>
      </c>
      <c r="BI17" s="122">
        <f t="shared" si="24"/>
        <v>6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P1-8</v>
      </c>
      <c r="B18" s="189" t="s">
        <v>2624</v>
      </c>
      <c r="C18" s="155" t="s">
        <v>122</v>
      </c>
      <c r="D18" s="112">
        <v>1</v>
      </c>
      <c r="E18" s="113"/>
      <c r="F18" s="113"/>
      <c r="G18" s="111">
        <v>60</v>
      </c>
      <c r="H18" s="114">
        <v>3.5</v>
      </c>
      <c r="I18" s="111">
        <v>82</v>
      </c>
      <c r="J18" s="245">
        <f t="shared" si="25"/>
        <v>0</v>
      </c>
      <c r="K18" s="245">
        <f t="shared" si="26"/>
        <v>60</v>
      </c>
      <c r="L18" s="246" t="str">
        <f t="shared" si="27"/>
        <v>+</v>
      </c>
      <c r="M18" s="247">
        <f t="shared" si="0"/>
        <v>13</v>
      </c>
      <c r="N18" s="248" t="str">
        <f t="shared" si="28"/>
        <v>x</v>
      </c>
      <c r="O18" s="249">
        <f t="shared" si="1"/>
        <v>82</v>
      </c>
      <c r="P18" s="250">
        <f t="shared" si="2"/>
        <v>74</v>
      </c>
      <c r="Q18" s="354">
        <f t="shared" si="29"/>
        <v>2.5</v>
      </c>
      <c r="R18" s="250">
        <f t="shared" si="3"/>
        <v>62</v>
      </c>
      <c r="S18" s="355">
        <f t="shared" si="30"/>
        <v>2.9</v>
      </c>
      <c r="T18" s="113">
        <v>0</v>
      </c>
      <c r="U18" s="244">
        <f t="shared" si="4"/>
        <v>1</v>
      </c>
      <c r="V18" s="221" t="s">
        <v>2618</v>
      </c>
      <c r="W18" s="221" t="s">
        <v>2499</v>
      </c>
      <c r="X18" s="222" t="s">
        <v>159</v>
      </c>
      <c r="Y18" s="57"/>
      <c r="Z18" s="57"/>
      <c r="AA18" s="362">
        <f t="shared" si="5"/>
        <v>2.5</v>
      </c>
      <c r="AB18" s="357">
        <f t="shared" si="6"/>
        <v>4</v>
      </c>
      <c r="AC18" s="358">
        <f t="shared" si="7"/>
        <v>7</v>
      </c>
      <c r="AD18" s="359">
        <f t="shared" si="8"/>
        <v>3</v>
      </c>
      <c r="AE18" s="368">
        <f t="shared" si="9"/>
        <v>7.666666666666667</v>
      </c>
      <c r="AF18" s="57" t="s">
        <v>31</v>
      </c>
      <c r="AG18" s="116">
        <f t="shared" si="10"/>
        <v>34.166666666666664</v>
      </c>
      <c r="AH18" s="113">
        <v>40</v>
      </c>
      <c r="AI18" s="113">
        <v>12</v>
      </c>
      <c r="AJ18" s="113"/>
      <c r="AK18" s="117"/>
      <c r="AL18" s="259">
        <f t="shared" si="11"/>
        <v>300</v>
      </c>
      <c r="AM18" s="118">
        <f t="shared" si="12"/>
        <v>60</v>
      </c>
      <c r="AN18" s="260">
        <f t="shared" si="13"/>
        <v>0</v>
      </c>
      <c r="AO18" s="118">
        <f t="shared" si="14"/>
        <v>280</v>
      </c>
      <c r="AP18" s="118">
        <f t="shared" si="15"/>
        <v>92</v>
      </c>
      <c r="AQ18" s="118">
        <f t="shared" si="16"/>
        <v>0</v>
      </c>
      <c r="AR18" s="119">
        <f t="shared" si="17"/>
        <v>732</v>
      </c>
      <c r="AS18" s="184"/>
      <c r="AZ18" s="120">
        <f t="shared" si="31"/>
        <v>13</v>
      </c>
      <c r="BA18" s="120">
        <f t="shared" si="18"/>
        <v>2.4662162162162162</v>
      </c>
      <c r="BB18" s="120">
        <f t="shared" si="32"/>
        <v>2.5</v>
      </c>
      <c r="BC18" s="121">
        <f t="shared" si="19"/>
        <v>4</v>
      </c>
      <c r="BD18" s="121">
        <f t="shared" si="20"/>
        <v>4</v>
      </c>
      <c r="BE18" s="120">
        <f t="shared" si="33"/>
        <v>7</v>
      </c>
      <c r="BF18" s="120">
        <f t="shared" si="21"/>
        <v>6.8055555555555554</v>
      </c>
      <c r="BG18" s="120">
        <f t="shared" si="22"/>
        <v>98</v>
      </c>
      <c r="BH18" s="120" t="e">
        <f t="shared" si="23"/>
        <v>#DIV/0!</v>
      </c>
      <c r="BI18" s="122">
        <f t="shared" si="24"/>
        <v>6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P1-9</v>
      </c>
      <c r="B19" s="189" t="s">
        <v>2625</v>
      </c>
      <c r="C19" s="155" t="s">
        <v>122</v>
      </c>
      <c r="D19" s="112">
        <v>1</v>
      </c>
      <c r="E19" s="113"/>
      <c r="F19" s="113"/>
      <c r="G19" s="111">
        <v>40</v>
      </c>
      <c r="H19" s="114">
        <v>3.5</v>
      </c>
      <c r="I19" s="111">
        <v>107</v>
      </c>
      <c r="J19" s="245">
        <f t="shared" si="25"/>
        <v>0</v>
      </c>
      <c r="K19" s="245">
        <f>+G19</f>
        <v>40</v>
      </c>
      <c r="L19" s="246" t="str">
        <f>IF(F19&gt;"r",0,IF(G19&gt;0,"+",0))</f>
        <v>+</v>
      </c>
      <c r="M19" s="247">
        <f t="shared" si="0"/>
        <v>13</v>
      </c>
      <c r="N19" s="248" t="str">
        <f>IF(G19&gt;0,"x",0)</f>
        <v>x</v>
      </c>
      <c r="O19" s="249">
        <f>+I19</f>
        <v>107</v>
      </c>
      <c r="P19" s="250">
        <f t="shared" si="2"/>
        <v>74</v>
      </c>
      <c r="Q19" s="354">
        <f t="shared" si="29"/>
        <v>1.8</v>
      </c>
      <c r="R19" s="250">
        <f t="shared" si="3"/>
        <v>62</v>
      </c>
      <c r="S19" s="355">
        <f t="shared" si="30"/>
        <v>2.1</v>
      </c>
      <c r="T19" s="113">
        <v>0</v>
      </c>
      <c r="U19" s="244">
        <f t="shared" si="4"/>
        <v>1</v>
      </c>
      <c r="V19" s="221" t="s">
        <v>2618</v>
      </c>
      <c r="W19" s="221" t="s">
        <v>2499</v>
      </c>
      <c r="X19" s="222" t="s">
        <v>159</v>
      </c>
      <c r="Y19" s="57"/>
      <c r="Z19" s="57"/>
      <c r="AA19" s="362">
        <f t="shared" si="5"/>
        <v>1.8</v>
      </c>
      <c r="AB19" s="357">
        <f t="shared" si="6"/>
        <v>2</v>
      </c>
      <c r="AC19" s="358">
        <f t="shared" si="7"/>
        <v>6.5</v>
      </c>
      <c r="AD19" s="359">
        <f t="shared" si="8"/>
        <v>3</v>
      </c>
      <c r="AE19" s="368">
        <f t="shared" si="9"/>
        <v>9.75</v>
      </c>
      <c r="AF19" s="57" t="s">
        <v>32</v>
      </c>
      <c r="AG19" s="116">
        <f t="shared" si="10"/>
        <v>29.722222222222221</v>
      </c>
      <c r="AH19" s="113">
        <v>40</v>
      </c>
      <c r="AI19" s="113">
        <v>12</v>
      </c>
      <c r="AJ19" s="113"/>
      <c r="AK19" s="117"/>
      <c r="AL19" s="259">
        <f t="shared" si="11"/>
        <v>150</v>
      </c>
      <c r="AM19" s="118">
        <f t="shared" si="12"/>
        <v>30</v>
      </c>
      <c r="AN19" s="260">
        <f t="shared" si="13"/>
        <v>0</v>
      </c>
      <c r="AO19" s="118">
        <f t="shared" si="14"/>
        <v>260</v>
      </c>
      <c r="AP19" s="118">
        <f t="shared" si="15"/>
        <v>117</v>
      </c>
      <c r="AQ19" s="118">
        <f t="shared" si="16"/>
        <v>0</v>
      </c>
      <c r="AR19" s="119">
        <f t="shared" si="17"/>
        <v>557</v>
      </c>
      <c r="AS19" s="184"/>
      <c r="AZ19" s="120">
        <f t="shared" si="31"/>
        <v>13</v>
      </c>
      <c r="BA19" s="120">
        <f t="shared" si="18"/>
        <v>1.7905405405405406</v>
      </c>
      <c r="BB19" s="120">
        <f t="shared" si="32"/>
        <v>1.8</v>
      </c>
      <c r="BC19" s="121">
        <f t="shared" si="19"/>
        <v>2</v>
      </c>
      <c r="BD19" s="121">
        <f t="shared" si="20"/>
        <v>3</v>
      </c>
      <c r="BE19" s="120">
        <f t="shared" si="33"/>
        <v>6.5</v>
      </c>
      <c r="BF19" s="120">
        <f t="shared" si="21"/>
        <v>6.15</v>
      </c>
      <c r="BG19" s="120">
        <f t="shared" si="22"/>
        <v>123</v>
      </c>
      <c r="BH19" s="120" t="e">
        <f t="shared" si="23"/>
        <v>#DIV/0!</v>
      </c>
      <c r="BI19" s="122">
        <f t="shared" si="24"/>
        <v>5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P1-10</v>
      </c>
      <c r="B20" s="189" t="s">
        <v>2625</v>
      </c>
      <c r="C20" s="155" t="s">
        <v>122</v>
      </c>
      <c r="D20" s="112">
        <v>1</v>
      </c>
      <c r="E20" s="113"/>
      <c r="F20" s="113"/>
      <c r="G20" s="111">
        <v>40</v>
      </c>
      <c r="H20" s="114">
        <v>3.5</v>
      </c>
      <c r="I20" s="111">
        <v>107</v>
      </c>
      <c r="J20" s="245">
        <f t="shared" si="25"/>
        <v>0</v>
      </c>
      <c r="K20" s="245">
        <f>+G20</f>
        <v>40</v>
      </c>
      <c r="L20" s="246" t="str">
        <f>IF(F20&gt;"r",0,IF(G20&gt;0,"+",0))</f>
        <v>+</v>
      </c>
      <c r="M20" s="247">
        <f t="shared" si="0"/>
        <v>13</v>
      </c>
      <c r="N20" s="248" t="str">
        <f>IF(G20&gt;0,"x",0)</f>
        <v>x</v>
      </c>
      <c r="O20" s="249">
        <f>+I20</f>
        <v>107</v>
      </c>
      <c r="P20" s="250">
        <f t="shared" si="2"/>
        <v>74</v>
      </c>
      <c r="Q20" s="354">
        <f t="shared" si="29"/>
        <v>1.8</v>
      </c>
      <c r="R20" s="250">
        <f t="shared" si="3"/>
        <v>62</v>
      </c>
      <c r="S20" s="355">
        <f t="shared" si="30"/>
        <v>2.1</v>
      </c>
      <c r="T20" s="113">
        <v>0</v>
      </c>
      <c r="U20" s="244">
        <f>+D20+E20</f>
        <v>1</v>
      </c>
      <c r="V20" s="221" t="s">
        <v>2618</v>
      </c>
      <c r="W20" s="221" t="s">
        <v>2499</v>
      </c>
      <c r="X20" s="222" t="s">
        <v>159</v>
      </c>
      <c r="Y20" s="57"/>
      <c r="Z20" s="57"/>
      <c r="AA20" s="362">
        <f t="shared" si="5"/>
        <v>1.8</v>
      </c>
      <c r="AB20" s="357">
        <f t="shared" si="6"/>
        <v>2</v>
      </c>
      <c r="AC20" s="358">
        <f t="shared" si="7"/>
        <v>6.5</v>
      </c>
      <c r="AD20" s="359">
        <f t="shared" si="8"/>
        <v>3</v>
      </c>
      <c r="AE20" s="368">
        <f t="shared" si="9"/>
        <v>9.75</v>
      </c>
      <c r="AF20" s="57" t="s">
        <v>33</v>
      </c>
      <c r="AG20" s="116">
        <f t="shared" si="10"/>
        <v>29.722222222222221</v>
      </c>
      <c r="AH20" s="113">
        <v>40</v>
      </c>
      <c r="AI20" s="113">
        <v>12</v>
      </c>
      <c r="AJ20" s="113"/>
      <c r="AK20" s="117"/>
      <c r="AL20" s="259">
        <f t="shared" si="11"/>
        <v>150</v>
      </c>
      <c r="AM20" s="118">
        <f t="shared" si="12"/>
        <v>30</v>
      </c>
      <c r="AN20" s="260">
        <f t="shared" si="13"/>
        <v>0</v>
      </c>
      <c r="AO20" s="118">
        <f t="shared" si="14"/>
        <v>260</v>
      </c>
      <c r="AP20" s="118">
        <f t="shared" si="15"/>
        <v>117</v>
      </c>
      <c r="AQ20" s="118">
        <f t="shared" si="16"/>
        <v>0</v>
      </c>
      <c r="AR20" s="119">
        <f t="shared" si="17"/>
        <v>557</v>
      </c>
      <c r="AS20" s="184"/>
      <c r="AZ20" s="120">
        <f t="shared" si="31"/>
        <v>13</v>
      </c>
      <c r="BA20" s="120">
        <f t="shared" si="18"/>
        <v>1.7905405405405406</v>
      </c>
      <c r="BB20" s="120">
        <f t="shared" si="32"/>
        <v>1.8</v>
      </c>
      <c r="BC20" s="121">
        <f t="shared" si="19"/>
        <v>2</v>
      </c>
      <c r="BD20" s="121">
        <f t="shared" si="20"/>
        <v>3</v>
      </c>
      <c r="BE20" s="120">
        <f t="shared" si="33"/>
        <v>6.5</v>
      </c>
      <c r="BF20" s="120">
        <f t="shared" si="21"/>
        <v>6.15</v>
      </c>
      <c r="BG20" s="120">
        <f t="shared" si="22"/>
        <v>123</v>
      </c>
      <c r="BH20" s="120" t="e">
        <f t="shared" si="23"/>
        <v>#DIV/0!</v>
      </c>
      <c r="BI20" s="122">
        <f t="shared" si="24"/>
        <v>5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P1-11</v>
      </c>
      <c r="B21" s="189" t="s">
        <v>2625</v>
      </c>
      <c r="C21" s="155" t="s">
        <v>122</v>
      </c>
      <c r="D21" s="112">
        <v>1</v>
      </c>
      <c r="E21" s="113"/>
      <c r="F21" s="113"/>
      <c r="G21" s="111">
        <v>40</v>
      </c>
      <c r="H21" s="114">
        <v>3.5</v>
      </c>
      <c r="I21" s="111">
        <v>107</v>
      </c>
      <c r="J21" s="245">
        <f t="shared" si="25"/>
        <v>0</v>
      </c>
      <c r="K21" s="245">
        <f t="shared" si="26"/>
        <v>40</v>
      </c>
      <c r="L21" s="246" t="str">
        <f t="shared" si="27"/>
        <v>+</v>
      </c>
      <c r="M21" s="247">
        <f t="shared" si="0"/>
        <v>13</v>
      </c>
      <c r="N21" s="248" t="str">
        <f t="shared" si="28"/>
        <v>x</v>
      </c>
      <c r="O21" s="249">
        <f t="shared" si="1"/>
        <v>107</v>
      </c>
      <c r="P21" s="250">
        <f t="shared" si="2"/>
        <v>74</v>
      </c>
      <c r="Q21" s="354">
        <f t="shared" si="29"/>
        <v>1.8</v>
      </c>
      <c r="R21" s="250">
        <f t="shared" si="3"/>
        <v>62</v>
      </c>
      <c r="S21" s="355">
        <f t="shared" si="30"/>
        <v>2.1</v>
      </c>
      <c r="T21" s="113">
        <v>0</v>
      </c>
      <c r="U21" s="244">
        <f t="shared" si="4"/>
        <v>1</v>
      </c>
      <c r="V21" s="221" t="s">
        <v>2618</v>
      </c>
      <c r="W21" s="221" t="s">
        <v>2499</v>
      </c>
      <c r="X21" s="222" t="s">
        <v>159</v>
      </c>
      <c r="Y21" s="57"/>
      <c r="Z21" s="57"/>
      <c r="AA21" s="362">
        <f t="shared" si="5"/>
        <v>1.8</v>
      </c>
      <c r="AB21" s="357">
        <f t="shared" si="6"/>
        <v>2</v>
      </c>
      <c r="AC21" s="358">
        <f t="shared" si="7"/>
        <v>6.5</v>
      </c>
      <c r="AD21" s="359">
        <f t="shared" si="8"/>
        <v>3</v>
      </c>
      <c r="AE21" s="368">
        <f t="shared" si="9"/>
        <v>9.75</v>
      </c>
      <c r="AF21" s="57" t="s">
        <v>34</v>
      </c>
      <c r="AG21" s="116">
        <f t="shared" si="10"/>
        <v>29.722222222222221</v>
      </c>
      <c r="AH21" s="113">
        <v>40</v>
      </c>
      <c r="AI21" s="113">
        <v>12</v>
      </c>
      <c r="AJ21" s="113"/>
      <c r="AK21" s="117"/>
      <c r="AL21" s="259">
        <f t="shared" si="11"/>
        <v>150</v>
      </c>
      <c r="AM21" s="118">
        <f t="shared" si="12"/>
        <v>30</v>
      </c>
      <c r="AN21" s="260">
        <f t="shared" si="13"/>
        <v>0</v>
      </c>
      <c r="AO21" s="118">
        <f t="shared" si="14"/>
        <v>260</v>
      </c>
      <c r="AP21" s="118">
        <f t="shared" si="15"/>
        <v>117</v>
      </c>
      <c r="AQ21" s="118">
        <f t="shared" si="16"/>
        <v>0</v>
      </c>
      <c r="AR21" s="119">
        <f t="shared" si="17"/>
        <v>557</v>
      </c>
      <c r="AS21" s="184"/>
      <c r="AZ21" s="120">
        <f t="shared" si="31"/>
        <v>13</v>
      </c>
      <c r="BA21" s="120">
        <f t="shared" si="18"/>
        <v>1.7905405405405406</v>
      </c>
      <c r="BB21" s="120">
        <f t="shared" si="32"/>
        <v>1.8</v>
      </c>
      <c r="BC21" s="121">
        <f t="shared" si="19"/>
        <v>2</v>
      </c>
      <c r="BD21" s="121">
        <f t="shared" si="20"/>
        <v>3</v>
      </c>
      <c r="BE21" s="120">
        <f t="shared" si="33"/>
        <v>6.5</v>
      </c>
      <c r="BF21" s="120">
        <f t="shared" si="21"/>
        <v>6.15</v>
      </c>
      <c r="BG21" s="120">
        <f t="shared" si="22"/>
        <v>123</v>
      </c>
      <c r="BH21" s="120" t="e">
        <f t="shared" si="23"/>
        <v>#DIV/0!</v>
      </c>
      <c r="BI21" s="122">
        <f t="shared" si="24"/>
        <v>5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P1-12</v>
      </c>
      <c r="B22" s="189" t="s">
        <v>2625</v>
      </c>
      <c r="C22" s="155" t="s">
        <v>122</v>
      </c>
      <c r="D22" s="112">
        <v>1</v>
      </c>
      <c r="E22" s="113"/>
      <c r="F22" s="113"/>
      <c r="G22" s="111">
        <v>40</v>
      </c>
      <c r="H22" s="114">
        <v>3.5</v>
      </c>
      <c r="I22" s="111">
        <v>107</v>
      </c>
      <c r="J22" s="245">
        <f t="shared" si="25"/>
        <v>0</v>
      </c>
      <c r="K22" s="245">
        <f t="shared" si="26"/>
        <v>40</v>
      </c>
      <c r="L22" s="246" t="str">
        <f t="shared" si="27"/>
        <v>+</v>
      </c>
      <c r="M22" s="247">
        <f t="shared" si="0"/>
        <v>13</v>
      </c>
      <c r="N22" s="248" t="str">
        <f t="shared" si="28"/>
        <v>x</v>
      </c>
      <c r="O22" s="249">
        <f t="shared" si="1"/>
        <v>107</v>
      </c>
      <c r="P22" s="250">
        <f t="shared" si="2"/>
        <v>74</v>
      </c>
      <c r="Q22" s="354">
        <f t="shared" si="29"/>
        <v>1.8</v>
      </c>
      <c r="R22" s="250">
        <f t="shared" si="3"/>
        <v>62</v>
      </c>
      <c r="S22" s="355">
        <f t="shared" si="30"/>
        <v>2.1</v>
      </c>
      <c r="T22" s="113">
        <v>0</v>
      </c>
      <c r="U22" s="244">
        <f t="shared" si="4"/>
        <v>1</v>
      </c>
      <c r="V22" s="221" t="s">
        <v>2618</v>
      </c>
      <c r="W22" s="221" t="s">
        <v>2499</v>
      </c>
      <c r="X22" s="222" t="s">
        <v>159</v>
      </c>
      <c r="Y22" s="57"/>
      <c r="Z22" s="57"/>
      <c r="AA22" s="362">
        <f t="shared" si="5"/>
        <v>1.8</v>
      </c>
      <c r="AB22" s="357">
        <f t="shared" si="6"/>
        <v>2</v>
      </c>
      <c r="AC22" s="358">
        <f t="shared" si="7"/>
        <v>6.5</v>
      </c>
      <c r="AD22" s="359">
        <f t="shared" si="8"/>
        <v>3</v>
      </c>
      <c r="AE22" s="368">
        <f t="shared" si="9"/>
        <v>9.75</v>
      </c>
      <c r="AF22" s="57" t="s">
        <v>35</v>
      </c>
      <c r="AG22" s="116">
        <f t="shared" si="10"/>
        <v>29.722222222222221</v>
      </c>
      <c r="AH22" s="113">
        <v>40</v>
      </c>
      <c r="AI22" s="113">
        <v>12</v>
      </c>
      <c r="AJ22" s="113"/>
      <c r="AK22" s="117"/>
      <c r="AL22" s="259">
        <f t="shared" si="11"/>
        <v>150</v>
      </c>
      <c r="AM22" s="118">
        <f t="shared" si="12"/>
        <v>30</v>
      </c>
      <c r="AN22" s="260">
        <f t="shared" si="13"/>
        <v>0</v>
      </c>
      <c r="AO22" s="118">
        <f t="shared" si="14"/>
        <v>260</v>
      </c>
      <c r="AP22" s="118">
        <f t="shared" si="15"/>
        <v>117</v>
      </c>
      <c r="AQ22" s="118">
        <f t="shared" si="16"/>
        <v>0</v>
      </c>
      <c r="AR22" s="119">
        <f t="shared" si="17"/>
        <v>557</v>
      </c>
      <c r="AS22" s="184"/>
      <c r="AZ22" s="120">
        <f t="shared" si="31"/>
        <v>13</v>
      </c>
      <c r="BA22" s="120">
        <f t="shared" si="18"/>
        <v>1.7905405405405406</v>
      </c>
      <c r="BB22" s="120">
        <f t="shared" si="32"/>
        <v>1.8</v>
      </c>
      <c r="BC22" s="121">
        <f t="shared" si="19"/>
        <v>2</v>
      </c>
      <c r="BD22" s="121">
        <f t="shared" si="20"/>
        <v>3</v>
      </c>
      <c r="BE22" s="120">
        <f t="shared" si="33"/>
        <v>6.5</v>
      </c>
      <c r="BF22" s="120">
        <f t="shared" si="21"/>
        <v>6.15</v>
      </c>
      <c r="BG22" s="120">
        <f t="shared" si="22"/>
        <v>123</v>
      </c>
      <c r="BH22" s="120" t="e">
        <f t="shared" si="23"/>
        <v>#DIV/0!</v>
      </c>
      <c r="BI22" s="122">
        <f t="shared" si="24"/>
        <v>5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P1-13</v>
      </c>
      <c r="B23" s="378" t="s">
        <v>2626</v>
      </c>
      <c r="C23" s="155" t="s">
        <v>122</v>
      </c>
      <c r="D23" s="112">
        <v>1</v>
      </c>
      <c r="E23" s="113"/>
      <c r="F23" s="113"/>
      <c r="G23" s="111">
        <v>40</v>
      </c>
      <c r="H23" s="114">
        <v>3.8</v>
      </c>
      <c r="I23" s="111">
        <v>238</v>
      </c>
      <c r="J23" s="245">
        <f t="shared" si="25"/>
        <v>0</v>
      </c>
      <c r="K23" s="245">
        <f t="shared" si="26"/>
        <v>40</v>
      </c>
      <c r="L23" s="246" t="str">
        <f t="shared" si="27"/>
        <v>+</v>
      </c>
      <c r="M23" s="247">
        <f t="shared" si="0"/>
        <v>13.6</v>
      </c>
      <c r="N23" s="248" t="str">
        <f t="shared" si="28"/>
        <v>x</v>
      </c>
      <c r="O23" s="249">
        <f t="shared" si="1"/>
        <v>238</v>
      </c>
      <c r="P23" s="250">
        <f t="shared" si="2"/>
        <v>74</v>
      </c>
      <c r="Q23" s="354">
        <f t="shared" si="29"/>
        <v>1.85</v>
      </c>
      <c r="R23" s="250">
        <f t="shared" si="3"/>
        <v>62</v>
      </c>
      <c r="S23" s="355">
        <f t="shared" si="30"/>
        <v>2.1</v>
      </c>
      <c r="T23" s="113">
        <v>0</v>
      </c>
      <c r="U23" s="244">
        <f t="shared" si="4"/>
        <v>1</v>
      </c>
      <c r="V23" s="221" t="s">
        <v>2618</v>
      </c>
      <c r="W23" s="221" t="s">
        <v>2499</v>
      </c>
      <c r="X23" s="222" t="s">
        <v>159</v>
      </c>
      <c r="Y23" s="57"/>
      <c r="Z23" s="57"/>
      <c r="AA23" s="362">
        <f t="shared" si="5"/>
        <v>1.8</v>
      </c>
      <c r="AB23" s="357">
        <f t="shared" si="6"/>
        <v>2</v>
      </c>
      <c r="AC23" s="358">
        <f t="shared" si="7"/>
        <v>13</v>
      </c>
      <c r="AD23" s="359">
        <f t="shared" si="8"/>
        <v>3</v>
      </c>
      <c r="AE23" s="368">
        <f t="shared" si="9"/>
        <v>20.666666666666668</v>
      </c>
      <c r="AF23" s="57" t="s">
        <v>36</v>
      </c>
      <c r="AG23" s="116">
        <f t="shared" si="10"/>
        <v>66.111111111111114</v>
      </c>
      <c r="AH23" s="113">
        <v>40</v>
      </c>
      <c r="AI23" s="113">
        <v>12</v>
      </c>
      <c r="AJ23" s="113"/>
      <c r="AK23" s="117"/>
      <c r="AL23" s="259">
        <f t="shared" si="11"/>
        <v>150</v>
      </c>
      <c r="AM23" s="118">
        <f t="shared" si="12"/>
        <v>30</v>
      </c>
      <c r="AN23" s="260">
        <f t="shared" si="13"/>
        <v>0</v>
      </c>
      <c r="AO23" s="118">
        <f t="shared" si="14"/>
        <v>520</v>
      </c>
      <c r="AP23" s="118">
        <f t="shared" si="15"/>
        <v>248</v>
      </c>
      <c r="AQ23" s="118">
        <f t="shared" si="16"/>
        <v>0</v>
      </c>
      <c r="AR23" s="119">
        <f t="shared" si="17"/>
        <v>948</v>
      </c>
      <c r="AS23" s="184"/>
      <c r="AZ23" s="120">
        <f t="shared" si="31"/>
        <v>13.6</v>
      </c>
      <c r="BA23" s="120">
        <f t="shared" si="18"/>
        <v>1.8108108108108107</v>
      </c>
      <c r="BB23" s="120">
        <f t="shared" si="32"/>
        <v>1.85</v>
      </c>
      <c r="BC23" s="121">
        <f t="shared" si="19"/>
        <v>2</v>
      </c>
      <c r="BD23" s="121">
        <f t="shared" si="20"/>
        <v>3</v>
      </c>
      <c r="BE23" s="120">
        <f t="shared" si="33"/>
        <v>13</v>
      </c>
      <c r="BF23" s="120">
        <f t="shared" si="21"/>
        <v>12.7</v>
      </c>
      <c r="BG23" s="120">
        <f t="shared" si="22"/>
        <v>254</v>
      </c>
      <c r="BH23" s="120" t="e">
        <f t="shared" si="23"/>
        <v>#DIV/0!</v>
      </c>
      <c r="BI23" s="122">
        <f t="shared" si="24"/>
        <v>5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P1-14</v>
      </c>
      <c r="B24" s="378" t="s">
        <v>2626</v>
      </c>
      <c r="C24" s="155" t="s">
        <v>122</v>
      </c>
      <c r="D24" s="112">
        <v>1</v>
      </c>
      <c r="E24" s="113"/>
      <c r="F24" s="113"/>
      <c r="G24" s="111">
        <v>40</v>
      </c>
      <c r="H24" s="114">
        <v>3.8</v>
      </c>
      <c r="I24" s="111">
        <v>238</v>
      </c>
      <c r="J24" s="245">
        <f t="shared" si="25"/>
        <v>0</v>
      </c>
      <c r="K24" s="245">
        <f t="shared" si="26"/>
        <v>40</v>
      </c>
      <c r="L24" s="246" t="str">
        <f t="shared" si="27"/>
        <v>+</v>
      </c>
      <c r="M24" s="247">
        <f t="shared" si="0"/>
        <v>13.6</v>
      </c>
      <c r="N24" s="248" t="str">
        <f t="shared" si="28"/>
        <v>x</v>
      </c>
      <c r="O24" s="249">
        <f t="shared" si="1"/>
        <v>238</v>
      </c>
      <c r="P24" s="250">
        <f t="shared" si="2"/>
        <v>74</v>
      </c>
      <c r="Q24" s="354">
        <f t="shared" si="29"/>
        <v>1.85</v>
      </c>
      <c r="R24" s="250">
        <f t="shared" si="3"/>
        <v>62</v>
      </c>
      <c r="S24" s="355">
        <f t="shared" si="30"/>
        <v>2.1</v>
      </c>
      <c r="T24" s="113">
        <v>0</v>
      </c>
      <c r="U24" s="244">
        <f t="shared" si="4"/>
        <v>1</v>
      </c>
      <c r="V24" s="221" t="s">
        <v>2618</v>
      </c>
      <c r="W24" s="221" t="s">
        <v>2499</v>
      </c>
      <c r="X24" s="222" t="s">
        <v>159</v>
      </c>
      <c r="Y24" s="57"/>
      <c r="Z24" s="57"/>
      <c r="AA24" s="362">
        <f t="shared" si="5"/>
        <v>1.8</v>
      </c>
      <c r="AB24" s="357">
        <f t="shared" si="6"/>
        <v>2</v>
      </c>
      <c r="AC24" s="358">
        <f t="shared" si="7"/>
        <v>13</v>
      </c>
      <c r="AD24" s="359">
        <f t="shared" si="8"/>
        <v>3</v>
      </c>
      <c r="AE24" s="368">
        <f t="shared" si="9"/>
        <v>20.666666666666668</v>
      </c>
      <c r="AF24" s="57" t="s">
        <v>37</v>
      </c>
      <c r="AG24" s="116">
        <f t="shared" si="10"/>
        <v>66.111111111111114</v>
      </c>
      <c r="AH24" s="113">
        <v>40</v>
      </c>
      <c r="AI24" s="113">
        <v>12</v>
      </c>
      <c r="AJ24" s="113"/>
      <c r="AK24" s="117"/>
      <c r="AL24" s="259">
        <f t="shared" si="11"/>
        <v>150</v>
      </c>
      <c r="AM24" s="118">
        <f t="shared" si="12"/>
        <v>30</v>
      </c>
      <c r="AN24" s="260">
        <f t="shared" si="13"/>
        <v>0</v>
      </c>
      <c r="AO24" s="118">
        <f t="shared" si="14"/>
        <v>520</v>
      </c>
      <c r="AP24" s="118">
        <f t="shared" si="15"/>
        <v>248</v>
      </c>
      <c r="AQ24" s="118">
        <f t="shared" si="16"/>
        <v>0</v>
      </c>
      <c r="AR24" s="119">
        <f t="shared" si="17"/>
        <v>948</v>
      </c>
      <c r="AS24" s="184"/>
      <c r="AZ24" s="120">
        <f t="shared" si="31"/>
        <v>13.6</v>
      </c>
      <c r="BA24" s="120">
        <f t="shared" si="18"/>
        <v>1.8108108108108107</v>
      </c>
      <c r="BB24" s="120">
        <f t="shared" si="32"/>
        <v>1.85</v>
      </c>
      <c r="BC24" s="121">
        <f t="shared" si="19"/>
        <v>2</v>
      </c>
      <c r="BD24" s="121">
        <f t="shared" si="20"/>
        <v>3</v>
      </c>
      <c r="BE24" s="120">
        <f t="shared" si="33"/>
        <v>13</v>
      </c>
      <c r="BF24" s="120">
        <f t="shared" si="21"/>
        <v>12.7</v>
      </c>
      <c r="BG24" s="120">
        <f t="shared" si="22"/>
        <v>254</v>
      </c>
      <c r="BH24" s="120" t="e">
        <f t="shared" si="23"/>
        <v>#DIV/0!</v>
      </c>
      <c r="BI24" s="122">
        <f t="shared" si="24"/>
        <v>5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P1-15</v>
      </c>
      <c r="B25" s="378" t="s">
        <v>2626</v>
      </c>
      <c r="C25" s="155" t="s">
        <v>122</v>
      </c>
      <c r="D25" s="112">
        <v>1</v>
      </c>
      <c r="E25" s="113"/>
      <c r="F25" s="113"/>
      <c r="G25" s="111">
        <v>40</v>
      </c>
      <c r="H25" s="114">
        <v>3.8</v>
      </c>
      <c r="I25" s="111">
        <v>146</v>
      </c>
      <c r="J25" s="245">
        <f t="shared" si="25"/>
        <v>0</v>
      </c>
      <c r="K25" s="245">
        <f t="shared" si="26"/>
        <v>40</v>
      </c>
      <c r="L25" s="246" t="str">
        <f t="shared" si="27"/>
        <v>+</v>
      </c>
      <c r="M25" s="247">
        <f t="shared" si="0"/>
        <v>13.6</v>
      </c>
      <c r="N25" s="248" t="str">
        <f t="shared" si="28"/>
        <v>x</v>
      </c>
      <c r="O25" s="249">
        <f t="shared" si="1"/>
        <v>146</v>
      </c>
      <c r="P25" s="250">
        <f t="shared" si="2"/>
        <v>74</v>
      </c>
      <c r="Q25" s="354">
        <f t="shared" si="29"/>
        <v>1.85</v>
      </c>
      <c r="R25" s="250">
        <f t="shared" si="3"/>
        <v>62</v>
      </c>
      <c r="S25" s="355">
        <f t="shared" si="30"/>
        <v>2.1</v>
      </c>
      <c r="T25" s="113">
        <v>0</v>
      </c>
      <c r="U25" s="244">
        <f t="shared" si="4"/>
        <v>1</v>
      </c>
      <c r="V25" s="221" t="s">
        <v>2618</v>
      </c>
      <c r="W25" s="221" t="s">
        <v>2499</v>
      </c>
      <c r="X25" s="222" t="s">
        <v>159</v>
      </c>
      <c r="Y25" s="57"/>
      <c r="Z25" s="57"/>
      <c r="AA25" s="362">
        <f t="shared" si="5"/>
        <v>1.8</v>
      </c>
      <c r="AB25" s="357">
        <f t="shared" si="6"/>
        <v>2</v>
      </c>
      <c r="AC25" s="358">
        <f t="shared" si="7"/>
        <v>8.5</v>
      </c>
      <c r="AD25" s="359">
        <f t="shared" si="8"/>
        <v>3</v>
      </c>
      <c r="AE25" s="368">
        <f t="shared" si="9"/>
        <v>13</v>
      </c>
      <c r="AF25" s="57" t="s">
        <v>43</v>
      </c>
      <c r="AG25" s="116">
        <f t="shared" si="10"/>
        <v>40.555555555555557</v>
      </c>
      <c r="AH25" s="113">
        <v>40</v>
      </c>
      <c r="AI25" s="113">
        <v>12</v>
      </c>
      <c r="AJ25" s="113"/>
      <c r="AK25" s="117"/>
      <c r="AL25" s="259">
        <f t="shared" si="11"/>
        <v>150</v>
      </c>
      <c r="AM25" s="118">
        <f t="shared" si="12"/>
        <v>30</v>
      </c>
      <c r="AN25" s="260">
        <f t="shared" si="13"/>
        <v>0</v>
      </c>
      <c r="AO25" s="118">
        <f t="shared" si="14"/>
        <v>340</v>
      </c>
      <c r="AP25" s="118">
        <f t="shared" si="15"/>
        <v>156</v>
      </c>
      <c r="AQ25" s="118">
        <f t="shared" si="16"/>
        <v>0</v>
      </c>
      <c r="AR25" s="119">
        <f t="shared" si="17"/>
        <v>676</v>
      </c>
      <c r="AS25" s="184"/>
      <c r="AZ25" s="120">
        <f t="shared" si="31"/>
        <v>13.6</v>
      </c>
      <c r="BA25" s="120">
        <f t="shared" si="18"/>
        <v>1.8108108108108107</v>
      </c>
      <c r="BB25" s="120">
        <f t="shared" si="32"/>
        <v>1.85</v>
      </c>
      <c r="BC25" s="121">
        <f t="shared" si="19"/>
        <v>2</v>
      </c>
      <c r="BD25" s="121">
        <f t="shared" si="20"/>
        <v>3</v>
      </c>
      <c r="BE25" s="120">
        <f t="shared" si="33"/>
        <v>8.5</v>
      </c>
      <c r="BF25" s="120">
        <f t="shared" si="21"/>
        <v>8.1000000000000014</v>
      </c>
      <c r="BG25" s="120">
        <f t="shared" si="22"/>
        <v>162</v>
      </c>
      <c r="BH25" s="120" t="e">
        <f t="shared" si="23"/>
        <v>#DIV/0!</v>
      </c>
      <c r="BI25" s="122">
        <f t="shared" si="24"/>
        <v>5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P1-16</v>
      </c>
      <c r="B26" s="378" t="s">
        <v>2626</v>
      </c>
      <c r="C26" s="155" t="s">
        <v>122</v>
      </c>
      <c r="D26" s="112">
        <v>1</v>
      </c>
      <c r="E26" s="113"/>
      <c r="F26" s="113"/>
      <c r="G26" s="111">
        <v>40</v>
      </c>
      <c r="H26" s="114">
        <v>3.8</v>
      </c>
      <c r="I26" s="111">
        <v>146</v>
      </c>
      <c r="J26" s="245">
        <f t="shared" si="25"/>
        <v>0</v>
      </c>
      <c r="K26" s="245">
        <f t="shared" si="26"/>
        <v>40</v>
      </c>
      <c r="L26" s="246" t="str">
        <f t="shared" si="27"/>
        <v>+</v>
      </c>
      <c r="M26" s="247">
        <f t="shared" si="0"/>
        <v>13.6</v>
      </c>
      <c r="N26" s="248" t="str">
        <f t="shared" si="28"/>
        <v>x</v>
      </c>
      <c r="O26" s="249">
        <f t="shared" si="1"/>
        <v>146</v>
      </c>
      <c r="P26" s="250">
        <f t="shared" si="2"/>
        <v>74</v>
      </c>
      <c r="Q26" s="354">
        <f t="shared" si="29"/>
        <v>1.85</v>
      </c>
      <c r="R26" s="250">
        <f t="shared" si="3"/>
        <v>62</v>
      </c>
      <c r="S26" s="355">
        <f t="shared" si="30"/>
        <v>2.1</v>
      </c>
      <c r="T26" s="113">
        <v>0</v>
      </c>
      <c r="U26" s="244">
        <f t="shared" si="4"/>
        <v>1</v>
      </c>
      <c r="V26" s="221" t="s">
        <v>2618</v>
      </c>
      <c r="W26" s="221" t="s">
        <v>2499</v>
      </c>
      <c r="X26" s="222" t="s">
        <v>159</v>
      </c>
      <c r="Y26" s="57"/>
      <c r="Z26" s="57"/>
      <c r="AA26" s="362">
        <f t="shared" si="5"/>
        <v>1.8</v>
      </c>
      <c r="AB26" s="357">
        <f t="shared" si="6"/>
        <v>2</v>
      </c>
      <c r="AC26" s="358">
        <f t="shared" si="7"/>
        <v>8.5</v>
      </c>
      <c r="AD26" s="359">
        <f t="shared" si="8"/>
        <v>3</v>
      </c>
      <c r="AE26" s="368">
        <f t="shared" si="9"/>
        <v>13</v>
      </c>
      <c r="AF26" s="57" t="s">
        <v>44</v>
      </c>
      <c r="AG26" s="116">
        <f t="shared" si="10"/>
        <v>40.555555555555557</v>
      </c>
      <c r="AH26" s="113">
        <v>40</v>
      </c>
      <c r="AI26" s="113">
        <v>12</v>
      </c>
      <c r="AJ26" s="113"/>
      <c r="AK26" s="117"/>
      <c r="AL26" s="259">
        <f t="shared" si="11"/>
        <v>150</v>
      </c>
      <c r="AM26" s="118">
        <f t="shared" si="12"/>
        <v>30</v>
      </c>
      <c r="AN26" s="260">
        <f t="shared" si="13"/>
        <v>0</v>
      </c>
      <c r="AO26" s="118">
        <f t="shared" si="14"/>
        <v>340</v>
      </c>
      <c r="AP26" s="118">
        <f t="shared" si="15"/>
        <v>156</v>
      </c>
      <c r="AQ26" s="118">
        <f t="shared" si="16"/>
        <v>0</v>
      </c>
      <c r="AR26" s="119">
        <f t="shared" si="17"/>
        <v>676</v>
      </c>
      <c r="AS26" s="184"/>
      <c r="AZ26" s="120">
        <f t="shared" si="31"/>
        <v>13.6</v>
      </c>
      <c r="BA26" s="120">
        <f t="shared" si="18"/>
        <v>1.8108108108108107</v>
      </c>
      <c r="BB26" s="120">
        <f t="shared" si="32"/>
        <v>1.85</v>
      </c>
      <c r="BC26" s="121">
        <f t="shared" si="19"/>
        <v>2</v>
      </c>
      <c r="BD26" s="121">
        <f t="shared" si="20"/>
        <v>3</v>
      </c>
      <c r="BE26" s="120">
        <f t="shared" si="33"/>
        <v>8.5</v>
      </c>
      <c r="BF26" s="120">
        <f t="shared" si="21"/>
        <v>8.1000000000000014</v>
      </c>
      <c r="BG26" s="120">
        <f t="shared" si="22"/>
        <v>162</v>
      </c>
      <c r="BH26" s="120" t="e">
        <f t="shared" si="23"/>
        <v>#DIV/0!</v>
      </c>
      <c r="BI26" s="122">
        <f t="shared" si="24"/>
        <v>5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P1-17</v>
      </c>
      <c r="B27" s="170" t="s">
        <v>2622</v>
      </c>
      <c r="C27" s="155" t="s">
        <v>122</v>
      </c>
      <c r="D27" s="112">
        <v>1</v>
      </c>
      <c r="E27" s="113"/>
      <c r="F27" s="113"/>
      <c r="G27" s="111">
        <v>54</v>
      </c>
      <c r="H27" s="114">
        <v>3.5</v>
      </c>
      <c r="I27" s="111">
        <v>100</v>
      </c>
      <c r="J27" s="245">
        <f t="shared" si="25"/>
        <v>0</v>
      </c>
      <c r="K27" s="245">
        <f t="shared" si="26"/>
        <v>54</v>
      </c>
      <c r="L27" s="246" t="str">
        <f t="shared" si="27"/>
        <v>+</v>
      </c>
      <c r="M27" s="247">
        <f t="shared" si="0"/>
        <v>13</v>
      </c>
      <c r="N27" s="248" t="str">
        <f t="shared" si="28"/>
        <v>x</v>
      </c>
      <c r="O27" s="249">
        <f t="shared" si="1"/>
        <v>100</v>
      </c>
      <c r="P27" s="250">
        <f t="shared" si="2"/>
        <v>74</v>
      </c>
      <c r="Q27" s="354">
        <f t="shared" si="29"/>
        <v>2.2999999999999998</v>
      </c>
      <c r="R27" s="250">
        <f t="shared" si="3"/>
        <v>62</v>
      </c>
      <c r="S27" s="355">
        <f t="shared" si="30"/>
        <v>2.7</v>
      </c>
      <c r="T27" s="113">
        <v>0</v>
      </c>
      <c r="U27" s="244">
        <f t="shared" si="4"/>
        <v>1</v>
      </c>
      <c r="V27" s="221" t="s">
        <v>2618</v>
      </c>
      <c r="W27" s="221" t="s">
        <v>2499</v>
      </c>
      <c r="X27" s="222" t="s">
        <v>159</v>
      </c>
      <c r="Y27" s="57"/>
      <c r="Z27" s="57"/>
      <c r="AA27" s="362">
        <f t="shared" si="5"/>
        <v>2.2999999999999998</v>
      </c>
      <c r="AB27" s="357">
        <f t="shared" si="6"/>
        <v>4</v>
      </c>
      <c r="AC27" s="358">
        <f t="shared" si="7"/>
        <v>7.5</v>
      </c>
      <c r="AD27" s="359">
        <f t="shared" si="8"/>
        <v>3</v>
      </c>
      <c r="AE27" s="368">
        <f t="shared" si="9"/>
        <v>9.1666666666666661</v>
      </c>
      <c r="AF27" s="57" t="s">
        <v>45</v>
      </c>
      <c r="AG27" s="116">
        <f t="shared" si="10"/>
        <v>37.5</v>
      </c>
      <c r="AH27" s="113">
        <v>40</v>
      </c>
      <c r="AI27" s="113">
        <v>12</v>
      </c>
      <c r="AJ27" s="113"/>
      <c r="AK27" s="117"/>
      <c r="AL27" s="259">
        <f t="shared" si="11"/>
        <v>300</v>
      </c>
      <c r="AM27" s="118">
        <f t="shared" si="12"/>
        <v>60</v>
      </c>
      <c r="AN27" s="260">
        <f t="shared" si="13"/>
        <v>0</v>
      </c>
      <c r="AO27" s="118">
        <f t="shared" si="14"/>
        <v>300</v>
      </c>
      <c r="AP27" s="118">
        <f t="shared" si="15"/>
        <v>110</v>
      </c>
      <c r="AQ27" s="118">
        <f t="shared" si="16"/>
        <v>0</v>
      </c>
      <c r="AR27" s="119">
        <f t="shared" si="17"/>
        <v>770</v>
      </c>
      <c r="AS27" s="184"/>
      <c r="AZ27" s="120">
        <f t="shared" si="31"/>
        <v>13</v>
      </c>
      <c r="BA27" s="120">
        <f t="shared" si="18"/>
        <v>2.2635135135135136</v>
      </c>
      <c r="BB27" s="120">
        <f t="shared" si="32"/>
        <v>2.2999999999999998</v>
      </c>
      <c r="BC27" s="121">
        <f t="shared" si="19"/>
        <v>4</v>
      </c>
      <c r="BD27" s="121">
        <f t="shared" si="20"/>
        <v>3</v>
      </c>
      <c r="BE27" s="120">
        <f t="shared" si="33"/>
        <v>7.5</v>
      </c>
      <c r="BF27" s="120">
        <f t="shared" si="21"/>
        <v>7.4111111111111097</v>
      </c>
      <c r="BG27" s="120">
        <f t="shared" si="22"/>
        <v>116</v>
      </c>
      <c r="BH27" s="120" t="e">
        <f t="shared" si="23"/>
        <v>#DIV/0!</v>
      </c>
      <c r="BI27" s="122">
        <f t="shared" si="24"/>
        <v>6</v>
      </c>
      <c r="BJ27" s="120"/>
      <c r="BK27" s="156" t="s">
        <v>2568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P1-18</v>
      </c>
      <c r="B28" s="170" t="s">
        <v>2627</v>
      </c>
      <c r="C28" s="155" t="s">
        <v>122</v>
      </c>
      <c r="D28" s="112">
        <v>1</v>
      </c>
      <c r="E28" s="113"/>
      <c r="F28" s="113"/>
      <c r="G28" s="111">
        <v>54</v>
      </c>
      <c r="H28" s="114">
        <v>3.5</v>
      </c>
      <c r="I28" s="111">
        <v>100</v>
      </c>
      <c r="J28" s="245">
        <f t="shared" si="25"/>
        <v>0</v>
      </c>
      <c r="K28" s="245">
        <f t="shared" si="26"/>
        <v>54</v>
      </c>
      <c r="L28" s="246" t="str">
        <f t="shared" si="27"/>
        <v>+</v>
      </c>
      <c r="M28" s="247">
        <f t="shared" si="0"/>
        <v>13</v>
      </c>
      <c r="N28" s="248" t="str">
        <f t="shared" si="28"/>
        <v>x</v>
      </c>
      <c r="O28" s="249">
        <f t="shared" si="1"/>
        <v>100</v>
      </c>
      <c r="P28" s="250">
        <f t="shared" si="2"/>
        <v>74</v>
      </c>
      <c r="Q28" s="354">
        <f t="shared" si="29"/>
        <v>2.2999999999999998</v>
      </c>
      <c r="R28" s="250">
        <f t="shared" si="3"/>
        <v>62</v>
      </c>
      <c r="S28" s="355">
        <f t="shared" si="30"/>
        <v>2.7</v>
      </c>
      <c r="T28" s="113">
        <v>0</v>
      </c>
      <c r="U28" s="244">
        <f t="shared" si="4"/>
        <v>1</v>
      </c>
      <c r="V28" s="221" t="s">
        <v>2618</v>
      </c>
      <c r="W28" s="221" t="s">
        <v>2499</v>
      </c>
      <c r="X28" s="222" t="s">
        <v>159</v>
      </c>
      <c r="Y28" s="57"/>
      <c r="Z28" s="57"/>
      <c r="AA28" s="362">
        <f t="shared" si="5"/>
        <v>2.2999999999999998</v>
      </c>
      <c r="AB28" s="357">
        <f t="shared" si="6"/>
        <v>4</v>
      </c>
      <c r="AC28" s="358">
        <f t="shared" si="7"/>
        <v>7.5</v>
      </c>
      <c r="AD28" s="359">
        <f t="shared" si="8"/>
        <v>3</v>
      </c>
      <c r="AE28" s="368">
        <f t="shared" si="9"/>
        <v>9.1666666666666661</v>
      </c>
      <c r="AF28" s="57" t="s">
        <v>46</v>
      </c>
      <c r="AG28" s="116">
        <f t="shared" si="10"/>
        <v>37.5</v>
      </c>
      <c r="AH28" s="113">
        <v>40</v>
      </c>
      <c r="AI28" s="113">
        <v>12</v>
      </c>
      <c r="AJ28" s="113"/>
      <c r="AK28" s="117"/>
      <c r="AL28" s="259">
        <f t="shared" si="11"/>
        <v>300</v>
      </c>
      <c r="AM28" s="118">
        <f t="shared" si="12"/>
        <v>60</v>
      </c>
      <c r="AN28" s="260">
        <f t="shared" si="13"/>
        <v>0</v>
      </c>
      <c r="AO28" s="118">
        <f t="shared" si="14"/>
        <v>300</v>
      </c>
      <c r="AP28" s="118">
        <f t="shared" si="15"/>
        <v>110</v>
      </c>
      <c r="AQ28" s="118">
        <f t="shared" si="16"/>
        <v>0</v>
      </c>
      <c r="AR28" s="119">
        <f t="shared" si="17"/>
        <v>770</v>
      </c>
      <c r="AS28" s="184"/>
      <c r="AZ28" s="120">
        <f t="shared" si="31"/>
        <v>13</v>
      </c>
      <c r="BA28" s="120">
        <f t="shared" si="18"/>
        <v>2.2635135135135136</v>
      </c>
      <c r="BB28" s="120">
        <f t="shared" si="32"/>
        <v>2.2999999999999998</v>
      </c>
      <c r="BC28" s="121">
        <f t="shared" si="19"/>
        <v>4</v>
      </c>
      <c r="BD28" s="121">
        <f t="shared" si="20"/>
        <v>3</v>
      </c>
      <c r="BE28" s="120">
        <f t="shared" si="33"/>
        <v>7.5</v>
      </c>
      <c r="BF28" s="120">
        <f t="shared" si="21"/>
        <v>7.4111111111111097</v>
      </c>
      <c r="BG28" s="120">
        <f t="shared" si="22"/>
        <v>116</v>
      </c>
      <c r="BH28" s="120" t="e">
        <f t="shared" si="23"/>
        <v>#DIV/0!</v>
      </c>
      <c r="BI28" s="122">
        <f t="shared" si="24"/>
        <v>6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P1-19</v>
      </c>
      <c r="B29" s="170" t="s">
        <v>2622</v>
      </c>
      <c r="C29" s="155" t="s">
        <v>122</v>
      </c>
      <c r="D29" s="112"/>
      <c r="E29" s="113">
        <v>1</v>
      </c>
      <c r="F29" s="113" t="s">
        <v>143</v>
      </c>
      <c r="G29" s="111">
        <v>48</v>
      </c>
      <c r="H29" s="114">
        <v>3.5</v>
      </c>
      <c r="I29" s="111">
        <v>104</v>
      </c>
      <c r="J29" s="245" t="str">
        <f t="shared" si="25"/>
        <v>left</v>
      </c>
      <c r="K29" s="245">
        <f t="shared" si="26"/>
        <v>48</v>
      </c>
      <c r="L29" s="246" t="str">
        <f t="shared" si="27"/>
        <v>+</v>
      </c>
      <c r="M29" s="247">
        <f t="shared" si="0"/>
        <v>6.5</v>
      </c>
      <c r="N29" s="248" t="str">
        <f t="shared" si="28"/>
        <v>x</v>
      </c>
      <c r="O29" s="249">
        <f t="shared" si="1"/>
        <v>104</v>
      </c>
      <c r="P29" s="250">
        <f t="shared" si="2"/>
        <v>74</v>
      </c>
      <c r="Q29" s="354">
        <f t="shared" si="29"/>
        <v>1.85</v>
      </c>
      <c r="R29" s="250">
        <f t="shared" si="3"/>
        <v>62</v>
      </c>
      <c r="S29" s="355">
        <f t="shared" si="30"/>
        <v>2.2000000000000002</v>
      </c>
      <c r="T29" s="113">
        <v>0</v>
      </c>
      <c r="U29" s="244">
        <f t="shared" si="4"/>
        <v>1</v>
      </c>
      <c r="V29" s="221" t="s">
        <v>2618</v>
      </c>
      <c r="W29" s="221" t="s">
        <v>2499</v>
      </c>
      <c r="X29" s="222" t="s">
        <v>159</v>
      </c>
      <c r="Y29" s="57"/>
      <c r="Z29" s="57"/>
      <c r="AA29" s="362">
        <f t="shared" si="5"/>
        <v>1.8</v>
      </c>
      <c r="AB29" s="357">
        <f t="shared" si="6"/>
        <v>2</v>
      </c>
      <c r="AC29" s="358">
        <f t="shared" si="7"/>
        <v>6</v>
      </c>
      <c r="AD29" s="359">
        <f t="shared" si="8"/>
        <v>3</v>
      </c>
      <c r="AE29" s="368">
        <f t="shared" si="9"/>
        <v>9.5</v>
      </c>
      <c r="AF29" s="57" t="s">
        <v>47</v>
      </c>
      <c r="AG29" s="116">
        <f t="shared" si="10"/>
        <v>34.666666666666664</v>
      </c>
      <c r="AH29" s="113">
        <v>40</v>
      </c>
      <c r="AI29" s="113">
        <v>12</v>
      </c>
      <c r="AJ29" s="113"/>
      <c r="AK29" s="117"/>
      <c r="AL29" s="259">
        <f t="shared" si="11"/>
        <v>150</v>
      </c>
      <c r="AM29" s="118">
        <f t="shared" si="12"/>
        <v>30</v>
      </c>
      <c r="AN29" s="260">
        <f t="shared" si="13"/>
        <v>0</v>
      </c>
      <c r="AO29" s="118">
        <f t="shared" si="14"/>
        <v>240</v>
      </c>
      <c r="AP29" s="118">
        <f t="shared" si="15"/>
        <v>114</v>
      </c>
      <c r="AQ29" s="118">
        <f t="shared" si="16"/>
        <v>0</v>
      </c>
      <c r="AR29" s="119">
        <f t="shared" si="17"/>
        <v>534</v>
      </c>
      <c r="AS29" s="184"/>
      <c r="AZ29" s="120">
        <f t="shared" si="31"/>
        <v>6.5</v>
      </c>
      <c r="BA29" s="120">
        <f t="shared" si="18"/>
        <v>1.8412162162162162</v>
      </c>
      <c r="BB29" s="120">
        <f t="shared" si="32"/>
        <v>1.85</v>
      </c>
      <c r="BC29" s="121">
        <f t="shared" si="19"/>
        <v>2</v>
      </c>
      <c r="BD29" s="121">
        <f t="shared" si="20"/>
        <v>3</v>
      </c>
      <c r="BE29" s="120">
        <f t="shared" si="33"/>
        <v>6</v>
      </c>
      <c r="BF29" s="120">
        <f t="shared" si="21"/>
        <v>6</v>
      </c>
      <c r="BG29" s="120">
        <f t="shared" si="22"/>
        <v>120</v>
      </c>
      <c r="BH29" s="120" t="e">
        <f t="shared" si="23"/>
        <v>#DIV/0!</v>
      </c>
      <c r="BI29" s="122">
        <f t="shared" si="24"/>
        <v>5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P1-20</v>
      </c>
      <c r="B30" s="170" t="s">
        <v>2628</v>
      </c>
      <c r="C30" s="155" t="s">
        <v>122</v>
      </c>
      <c r="D30" s="112">
        <v>1</v>
      </c>
      <c r="E30" s="113"/>
      <c r="F30" s="113"/>
      <c r="G30" s="111">
        <v>60</v>
      </c>
      <c r="H30" s="114">
        <v>3.5</v>
      </c>
      <c r="I30" s="111">
        <v>84</v>
      </c>
      <c r="J30" s="245">
        <f t="shared" si="25"/>
        <v>0</v>
      </c>
      <c r="K30" s="245">
        <f t="shared" si="26"/>
        <v>60</v>
      </c>
      <c r="L30" s="246" t="str">
        <f t="shared" si="27"/>
        <v>+</v>
      </c>
      <c r="M30" s="247">
        <f t="shared" si="0"/>
        <v>13</v>
      </c>
      <c r="N30" s="248" t="str">
        <f t="shared" si="28"/>
        <v>x</v>
      </c>
      <c r="O30" s="249">
        <f t="shared" si="1"/>
        <v>84</v>
      </c>
      <c r="P30" s="250">
        <f t="shared" si="2"/>
        <v>74</v>
      </c>
      <c r="Q30" s="354">
        <f t="shared" si="29"/>
        <v>2.5</v>
      </c>
      <c r="R30" s="250">
        <f t="shared" si="3"/>
        <v>62</v>
      </c>
      <c r="S30" s="355">
        <f t="shared" si="30"/>
        <v>2.9</v>
      </c>
      <c r="T30" s="113">
        <v>0</v>
      </c>
      <c r="U30" s="244">
        <f t="shared" si="4"/>
        <v>1</v>
      </c>
      <c r="V30" s="221" t="s">
        <v>2618</v>
      </c>
      <c r="W30" s="221" t="s">
        <v>2499</v>
      </c>
      <c r="X30" s="222" t="s">
        <v>159</v>
      </c>
      <c r="Y30" s="110"/>
      <c r="Z30" s="65"/>
      <c r="AA30" s="362">
        <f t="shared" si="5"/>
        <v>2.5</v>
      </c>
      <c r="AB30" s="357">
        <f t="shared" si="6"/>
        <v>4</v>
      </c>
      <c r="AC30" s="358">
        <f t="shared" si="7"/>
        <v>7</v>
      </c>
      <c r="AD30" s="359">
        <f t="shared" si="8"/>
        <v>3</v>
      </c>
      <c r="AE30" s="368">
        <f t="shared" si="9"/>
        <v>7.833333333333333</v>
      </c>
      <c r="AF30" s="117" t="s">
        <v>48</v>
      </c>
      <c r="AG30" s="116">
        <f t="shared" si="10"/>
        <v>35</v>
      </c>
      <c r="AH30" s="113">
        <v>40</v>
      </c>
      <c r="AI30" s="113">
        <v>12</v>
      </c>
      <c r="AJ30" s="113"/>
      <c r="AK30" s="117"/>
      <c r="AL30" s="259">
        <f t="shared" si="11"/>
        <v>300</v>
      </c>
      <c r="AM30" s="118">
        <f t="shared" si="12"/>
        <v>60</v>
      </c>
      <c r="AN30" s="260">
        <f t="shared" si="13"/>
        <v>0</v>
      </c>
      <c r="AO30" s="118">
        <f t="shared" si="14"/>
        <v>280</v>
      </c>
      <c r="AP30" s="118">
        <f t="shared" si="15"/>
        <v>94</v>
      </c>
      <c r="AQ30" s="118">
        <f t="shared" si="16"/>
        <v>0</v>
      </c>
      <c r="AR30" s="119">
        <f t="shared" si="17"/>
        <v>734</v>
      </c>
      <c r="AS30" s="184"/>
      <c r="AZ30" s="120">
        <f t="shared" si="31"/>
        <v>13</v>
      </c>
      <c r="BA30" s="120">
        <f t="shared" si="18"/>
        <v>2.4662162162162162</v>
      </c>
      <c r="BB30" s="120">
        <f t="shared" si="32"/>
        <v>2.5</v>
      </c>
      <c r="BC30" s="121">
        <f t="shared" si="19"/>
        <v>4</v>
      </c>
      <c r="BD30" s="121">
        <f t="shared" si="20"/>
        <v>4</v>
      </c>
      <c r="BE30" s="120">
        <f t="shared" si="33"/>
        <v>7</v>
      </c>
      <c r="BF30" s="120">
        <f t="shared" si="21"/>
        <v>6.9444444444444446</v>
      </c>
      <c r="BG30" s="120">
        <f t="shared" si="22"/>
        <v>100</v>
      </c>
      <c r="BH30" s="120" t="e">
        <f t="shared" si="23"/>
        <v>#DIV/0!</v>
      </c>
      <c r="BI30" s="122">
        <f t="shared" si="24"/>
        <v>6</v>
      </c>
      <c r="BJ30" s="120"/>
      <c r="BK30" s="156" t="s">
        <v>159</v>
      </c>
      <c r="BL30" s="157">
        <v>62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146.5</v>
      </c>
      <c r="AD31" s="361"/>
      <c r="AE31" s="356">
        <f>SUM(AE11:AE30)</f>
        <v>201.375</v>
      </c>
      <c r="AF31" s="123" t="s">
        <v>17</v>
      </c>
      <c r="AG31" s="124"/>
      <c r="AL31" s="125">
        <f t="shared" ref="AL31:AQ31" si="34">SUM(AL11:AL30)</f>
        <v>4200</v>
      </c>
      <c r="AM31" s="126">
        <f t="shared" si="34"/>
        <v>840</v>
      </c>
      <c r="AN31" s="127">
        <f t="shared" si="34"/>
        <v>0</v>
      </c>
      <c r="AO31" s="162">
        <f t="shared" si="34"/>
        <v>5860</v>
      </c>
      <c r="AP31" s="162">
        <f t="shared" si="34"/>
        <v>2416.5</v>
      </c>
      <c r="AQ31" s="162">
        <v>216</v>
      </c>
      <c r="AR31" s="158">
        <f>SUM(AL31:AQ31)</f>
        <v>13532.5</v>
      </c>
      <c r="AS31" s="184"/>
      <c r="AW31" s="399"/>
      <c r="BC31" s="53">
        <f t="shared" si="19"/>
        <v>0</v>
      </c>
      <c r="BK31" s="156" t="s">
        <v>158</v>
      </c>
      <c r="BL31" s="157">
        <v>60</v>
      </c>
      <c r="BO31" s="196"/>
    </row>
    <row r="32" spans="1:67" s="53" customFormat="1" ht="18" customHeight="1" thickBot="1">
      <c r="A32" s="198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 t="s">
        <v>40</v>
      </c>
      <c r="W32" s="255"/>
      <c r="X32" s="255"/>
      <c r="Y32" s="303" t="s">
        <v>2550</v>
      </c>
      <c r="Z32" s="342">
        <f>AC31+'Worksheet 2'!AC31</f>
        <v>230.5</v>
      </c>
      <c r="AA32" s="43"/>
      <c r="AB32" s="442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64"/>
      <c r="AP32" s="398" t="s">
        <v>38</v>
      </c>
      <c r="AQ32" s="396">
        <f>'Worksheet 2'!AR31</f>
        <v>6242</v>
      </c>
      <c r="AR32" s="395">
        <f>AR31+AQ32+AM35</f>
        <v>19775</v>
      </c>
      <c r="AS32" s="394" t="s">
        <v>2595</v>
      </c>
      <c r="BK32" s="156" t="s">
        <v>2549</v>
      </c>
      <c r="BL32" s="157">
        <v>54</v>
      </c>
      <c r="BO32" s="196"/>
    </row>
    <row r="33" spans="1:67" s="53" customFormat="1" ht="15.95" customHeight="1" thickBot="1">
      <c r="A33" s="198"/>
      <c r="B33" s="131" t="s">
        <v>69</v>
      </c>
      <c r="C33" s="132"/>
      <c r="D33" s="133"/>
      <c r="E33" s="132"/>
      <c r="F33" s="134" t="s">
        <v>2629</v>
      </c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163"/>
      <c r="X33" s="163"/>
      <c r="Y33" s="303" t="s">
        <v>2551</v>
      </c>
      <c r="Z33" s="342">
        <f>AE31+'Worksheet 2'!AE31</f>
        <v>254.875</v>
      </c>
      <c r="AA33" s="43"/>
      <c r="AB33" s="442"/>
      <c r="AE33" s="66"/>
      <c r="AF33" s="43"/>
      <c r="AK33" s="46" t="s">
        <v>89</v>
      </c>
      <c r="AL33" s="66"/>
      <c r="AM33" s="135">
        <v>1</v>
      </c>
      <c r="AN33" s="136"/>
      <c r="AP33" s="137" t="s">
        <v>2603</v>
      </c>
      <c r="AQ33" s="402"/>
      <c r="AR33" s="403">
        <v>1500</v>
      </c>
      <c r="AS33" s="186"/>
      <c r="AX33" s="436" t="s">
        <v>2602</v>
      </c>
      <c r="AY33" s="436"/>
      <c r="AZ33" s="436"/>
      <c r="BK33" s="156"/>
      <c r="BL33" s="157"/>
      <c r="BO33" s="196"/>
    </row>
    <row r="34" spans="1:67" s="53" customFormat="1" ht="18" customHeight="1" thickBot="1">
      <c r="A34" s="198"/>
      <c r="B34" s="138" t="s">
        <v>70</v>
      </c>
      <c r="C34" s="128"/>
      <c r="D34" s="139"/>
      <c r="E34" s="132"/>
      <c r="F34" s="134"/>
      <c r="G34" s="57"/>
      <c r="H34" s="80"/>
      <c r="N34" s="304" t="s">
        <v>2552</v>
      </c>
      <c r="O34" s="342">
        <f>SUM(Q43+S43)/sew_price*10</f>
        <v>17.790000000000003</v>
      </c>
      <c r="P34" s="43"/>
      <c r="Q34" s="43"/>
      <c r="R34" s="256">
        <v>1</v>
      </c>
      <c r="S34" s="66"/>
      <c r="T34" s="66"/>
      <c r="U34" s="66"/>
      <c r="V34" s="66"/>
      <c r="W34" s="163"/>
      <c r="X34" s="163"/>
      <c r="Y34" s="66"/>
      <c r="Z34" s="43"/>
      <c r="AA34" s="43"/>
      <c r="AB34" s="442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P34" s="137" t="s">
        <v>2604</v>
      </c>
      <c r="AQ34" s="128"/>
      <c r="AR34" s="404">
        <f>+IF(AR32&lt;500,AZ34,IF(AR32&lt;1000,AZ35,IF(AR32&lt;3000,AZ36,IF(AR32&lt;8000,AZ37,IF(AR32&gt;7999,AZ38," ")))))</f>
        <v>500</v>
      </c>
      <c r="AS34" s="186"/>
      <c r="AX34" s="443" t="s">
        <v>2597</v>
      </c>
      <c r="AY34" s="443"/>
      <c r="AZ34" s="400">
        <v>50</v>
      </c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138" t="s">
        <v>18</v>
      </c>
      <c r="C35" s="128"/>
      <c r="D35" s="139"/>
      <c r="E35" s="132"/>
      <c r="F35" s="134"/>
      <c r="G35" s="57"/>
      <c r="H35" s="80"/>
      <c r="O35" s="141"/>
      <c r="R35" s="57"/>
      <c r="S35" s="142"/>
      <c r="T35" s="57"/>
      <c r="U35" s="57"/>
      <c r="V35" s="57"/>
      <c r="W35" s="257"/>
      <c r="X35" s="257"/>
      <c r="Y35" s="57"/>
      <c r="Z35" s="43"/>
      <c r="AF35" s="43"/>
      <c r="AG35" s="46"/>
      <c r="AH35" s="57"/>
      <c r="AI35" s="57"/>
      <c r="AL35" s="412" t="s">
        <v>2606</v>
      </c>
      <c r="AM35" s="411">
        <v>0.5</v>
      </c>
      <c r="AN35" s="410" t="s">
        <v>13</v>
      </c>
      <c r="AP35" s="137" t="s">
        <v>2635</v>
      </c>
      <c r="AQ35" s="128"/>
      <c r="AR35" s="193">
        <f>+'[7]Stage worksheet'!$AD$38</f>
        <v>7024.0033333333331</v>
      </c>
      <c r="AS35" s="187"/>
      <c r="AX35" s="443" t="s">
        <v>2598</v>
      </c>
      <c r="AY35" s="443"/>
      <c r="AZ35" s="400">
        <v>100</v>
      </c>
      <c r="BK35" s="156" t="s">
        <v>161</v>
      </c>
      <c r="BL35" s="157">
        <v>74</v>
      </c>
      <c r="BO35" s="196"/>
    </row>
    <row r="36" spans="1:67" s="53" customFormat="1" ht="18" customHeight="1" thickBo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 t="s">
        <v>2607</v>
      </c>
      <c r="AP36" s="407" t="s">
        <v>19</v>
      </c>
      <c r="AQ36" s="43"/>
      <c r="AR36" s="143">
        <f>AR32+AQ33+AR33+AR34+AR35</f>
        <v>28799.003333333334</v>
      </c>
      <c r="AS36" s="187"/>
      <c r="AT36" s="182" t="b">
        <v>0</v>
      </c>
      <c r="AX36" s="435" t="s">
        <v>2599</v>
      </c>
      <c r="AY36" s="435"/>
      <c r="AZ36" s="401">
        <v>175</v>
      </c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 thickBot="1">
      <c r="A37" s="198"/>
      <c r="B37" s="144" t="s">
        <v>20</v>
      </c>
      <c r="C37" s="132"/>
      <c r="D37" s="132"/>
      <c r="E37" s="163"/>
      <c r="F37" s="163"/>
      <c r="G37" s="251" t="s">
        <v>3</v>
      </c>
      <c r="H37" s="252"/>
      <c r="I37" s="251"/>
      <c r="J37" s="251"/>
      <c r="K37" s="251"/>
      <c r="L37" s="251"/>
      <c r="M37" s="251"/>
      <c r="N37" s="251"/>
      <c r="O37" s="253"/>
      <c r="R37" s="66"/>
      <c r="S37" s="66"/>
      <c r="T37" s="66"/>
      <c r="U37" s="66"/>
      <c r="V37" s="437" t="s">
        <v>21</v>
      </c>
      <c r="W37" s="438"/>
      <c r="X37" s="78" t="s">
        <v>2630</v>
      </c>
      <c r="Y37" s="258"/>
      <c r="AG37" s="46"/>
      <c r="AJ37" s="66"/>
      <c r="AK37" s="66"/>
      <c r="AM37" s="43" t="s">
        <v>136</v>
      </c>
      <c r="AN37" s="145">
        <v>0</v>
      </c>
      <c r="AP37" s="64"/>
      <c r="AQ37" s="397" t="s">
        <v>22</v>
      </c>
      <c r="AR37" s="408">
        <f>IF($AT$36=TRUE,(AR32-(AL31+AM31+'Worksheet 2'!AL31+'Worksheet 2'!AM31))*AN37, AR36*AN37)</f>
        <v>0</v>
      </c>
      <c r="AS37" s="186"/>
      <c r="AT37" s="198"/>
      <c r="AX37" s="435" t="s">
        <v>2600</v>
      </c>
      <c r="AY37" s="435"/>
      <c r="AZ37" s="401">
        <v>250</v>
      </c>
      <c r="BK37" s="156" t="s">
        <v>134</v>
      </c>
      <c r="BL37" s="157"/>
      <c r="BM37" s="53"/>
      <c r="BO37" s="195"/>
    </row>
    <row r="38" spans="1:67" s="43" customFormat="1" ht="18" customHeight="1" thickBo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 t="s">
        <v>112</v>
      </c>
      <c r="AN38" s="148"/>
      <c r="AP38" s="384"/>
      <c r="AQ38" s="409" t="s">
        <v>23</v>
      </c>
      <c r="AR38" s="406">
        <f>SUM(AR36:AR37)</f>
        <v>28799.003333333334</v>
      </c>
      <c r="AS38" s="188"/>
      <c r="AX38" s="435" t="s">
        <v>2601</v>
      </c>
      <c r="AY38" s="435"/>
      <c r="AZ38" s="401">
        <v>500</v>
      </c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405" t="s">
        <v>2605</v>
      </c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B43" t="s">
        <v>2608</v>
      </c>
      <c r="D43" s="1">
        <f>SUM(D11:D30)</f>
        <v>19</v>
      </c>
      <c r="E43">
        <f>SUM(E11:E30)</f>
        <v>1</v>
      </c>
      <c r="Q43" s="352">
        <f>SUM(Q11:Q30)</f>
        <v>41.150000000000006</v>
      </c>
      <c r="S43" s="352">
        <f>SUM(S11:S30)</f>
        <v>47.800000000000011</v>
      </c>
      <c r="BK43" s="53"/>
      <c r="BL43" s="53"/>
      <c r="BM43" s="43"/>
    </row>
    <row r="44" spans="1:67">
      <c r="B44" t="s">
        <v>2609</v>
      </c>
      <c r="D44" s="1">
        <f>SUM('Worksheet 2'!D11:D30)</f>
        <v>10</v>
      </c>
      <c r="E44" s="414">
        <f>SUM('Worksheet 2'!E11:E30)</f>
        <v>0</v>
      </c>
      <c r="BK44" s="53"/>
      <c r="BL44" s="53"/>
      <c r="BM44" s="43"/>
    </row>
    <row r="45" spans="1:67">
      <c r="BK45" s="53"/>
      <c r="BL45" s="53"/>
      <c r="BM45" s="43"/>
    </row>
    <row r="46" spans="1:67">
      <c r="B46" t="s">
        <v>2610</v>
      </c>
      <c r="D46" s="1">
        <f>D43+E43+D44+E44</f>
        <v>30</v>
      </c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  <protectedRange password="CC3B" sqref="AK28:AK30" name="Range2_1"/>
  </protectedRanges>
  <customSheetViews>
    <customSheetView guid="{243F4461-449C-11D4-AFC8-30694FC10000}" scale="75" showPageBreaks="1" showGridLines="0" zeroValues="0" printArea="1" showRuler="0">
      <selection activeCell="AO4" sqref="AO4"/>
      <colBreaks count="1" manualBreakCount="1">
        <brk id="29" max="31" man="1"/>
      </colBreaks>
      <pageMargins left="0.18" right="0.25" top="0.25" bottom="0.28000000000000003" header="0.5" footer="0.5"/>
      <pageSetup scale="75" orientation="landscape" horizontalDpi="300" verticalDpi="4294967292" r:id="rId1"/>
      <headerFooter alignWithMargins="0"/>
    </customSheetView>
  </customSheetViews>
  <mergeCells count="23">
    <mergeCell ref="AX38:AY38"/>
    <mergeCell ref="AX33:AZ33"/>
    <mergeCell ref="BB4:BJ4"/>
    <mergeCell ref="V37:W37"/>
    <mergeCell ref="AH9:AH10"/>
    <mergeCell ref="AH4:AK4"/>
    <mergeCell ref="AJ8:AK8"/>
    <mergeCell ref="AB32:AB34"/>
    <mergeCell ref="AX34:AY34"/>
    <mergeCell ref="AX35:AY35"/>
    <mergeCell ref="AX36:AY36"/>
    <mergeCell ref="AX37:AY37"/>
    <mergeCell ref="N1:T1"/>
    <mergeCell ref="R4:T4"/>
    <mergeCell ref="AI9:AI10"/>
    <mergeCell ref="P4:Q4"/>
    <mergeCell ref="C9:C10"/>
    <mergeCell ref="P9:P10"/>
    <mergeCell ref="AB4:AF5"/>
    <mergeCell ref="D6:H6"/>
    <mergeCell ref="J6:O6"/>
    <mergeCell ref="D7:H7"/>
    <mergeCell ref="J7:O7"/>
  </mergeCells>
  <phoneticPr fontId="3" type="noConversion"/>
  <conditionalFormatting sqref="R4:T4">
    <cfRule type="containsBlanks" dxfId="7" priority="1">
      <formula>LEN(TRIM(R4))=0</formula>
    </cfRule>
  </conditionalFormatting>
  <dataValidations count="6">
    <dataValidation type="whole" operator="equal" allowBlank="1" showInputMessage="1" showErrorMessage="1" errorTitle="Value Too High" error="Please enter 1 drapery per line." sqref="D13:D14 D23:D30" xr:uid="{BDC1B09F-B811-4692-9C21-D3C295AB8EFE}">
      <formula1>1</formula1>
    </dataValidation>
    <dataValidation type="whole" operator="equal" allowBlank="1" showInputMessage="1" showErrorMessage="1" errorTitle="Value Too High" error="Please enter 1 drapery per line." promptTitle="Only 1" prompt="Enter only 1 drapery per line. " sqref="D11:E11 E13:E14 E16:E17 E19:E26 E28:E29 D15:D22" xr:uid="{80D3BA24-DD64-41C1-B8C6-0824A7C56476}">
      <formula1>1</formula1>
    </dataValidation>
    <dataValidation type="list" allowBlank="1" showInputMessage="1" showErrorMessage="1" sqref="X11:X30" xr:uid="{03056619-411D-40D8-8525-CC77B2F30D2B}">
      <formula1>$BK$29:$BK$37</formula1>
    </dataValidation>
    <dataValidation type="list" allowBlank="1" showInputMessage="1" showErrorMessage="1" sqref="F11:F30" xr:uid="{749CC978-56B4-428E-85C9-0C5AA402AC30}">
      <formula1>$BN$11:$BN$17</formula1>
    </dataValidation>
    <dataValidation type="list" allowBlank="1" showInputMessage="1" showErrorMessage="1" sqref="W11:W30" xr:uid="{C7BBF3BE-5F2D-4A01-AD71-C89C70B008CA}">
      <formula1>$BK$11:$BK$32</formula1>
    </dataValidation>
    <dataValidation type="list" allowBlank="1" showInputMessage="1" showErrorMessage="1" sqref="AN35" xr:uid="{4B88737A-0F26-49E4-B676-862A71C7C203}">
      <formula1>$AL$10:$AQ$10</formula1>
    </dataValidation>
  </dataValidations>
  <pageMargins left="0.18" right="0.25" top="0.25" bottom="0.28000000000000003" header="0.5" footer="0.5"/>
  <pageSetup scale="68" orientation="landscape" horizontalDpi="300" verticalDpi="4294967292" r:id="rId2"/>
  <headerFooter alignWithMargins="0">
    <oddFooter>&amp;Z&amp;F</oddFooter>
  </headerFooter>
  <rowBreaks count="1" manualBreakCount="1">
    <brk id="39" max="16383" man="1"/>
  </rowBreaks>
  <ignoredErrors>
    <ignoredError sqref="U12:U18 U21:U30" unlockedFormula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5" name="Option Button 2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6" name="Group Box 10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9" r:id="rId7" name="Check Box 11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8" name="Option Button 19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9" name="Option Button 20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10" name="Option Button 21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11" name="Group Box 22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12" name="Check Box 24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22B444E-3CBE-4AF5-87BA-45E47CFBE122}">
          <x14:formula1>
            <xm:f>'Data Sheet'!$B$2:$U$2</xm:f>
          </x14:formula1>
          <xm:sqref>Z4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B98DB-D25E-4E85-AC27-D936DB085C0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+Worksheet!$W$4</f>
        <v>Windcrest WO#J5121027-00234.01</v>
      </c>
      <c r="E1" s="22"/>
      <c r="F1" s="23"/>
      <c r="G1" s="22"/>
      <c r="H1" s="24"/>
      <c r="I1" s="25">
        <f>+Worksheet!$AR$1</f>
        <v>0</v>
      </c>
      <c r="J1" s="26"/>
      <c r="L1" s="164" t="s">
        <v>113</v>
      </c>
      <c r="M1" s="21" t="str">
        <f>+Worksheet!$W$4</f>
        <v>Windcrest WO#J5121027-00234.01</v>
      </c>
      <c r="N1" s="22"/>
      <c r="O1" s="23"/>
      <c r="P1" s="22"/>
      <c r="Q1" s="24"/>
      <c r="R1" s="25">
        <f>+Worksheet!$AR$1</f>
        <v>0</v>
      </c>
    </row>
    <row r="2" spans="1:18" ht="33" customHeight="1">
      <c r="C2" s="165" t="s">
        <v>128</v>
      </c>
      <c r="D2" s="150" cm="1">
        <f t="array" aca="1" ref="D2" ca="1">INDIRECT("'Worksheet'!$K"&amp;$B1)</f>
        <v>40</v>
      </c>
      <c r="E2" s="151" t="s">
        <v>115</v>
      </c>
      <c r="F2" s="150" cm="1">
        <f t="array" aca="1" ref="F2" ca="1">INDIRECT("'Worksheet'!$M"&amp;$B1)</f>
        <v>13</v>
      </c>
      <c r="G2" s="151" t="s">
        <v>122</v>
      </c>
      <c r="H2" s="150" cm="1">
        <f t="array" aca="1" ref="H2" ca="1">INDIRECT("'Worksheet'!$O"&amp;$B1)</f>
        <v>81.5</v>
      </c>
      <c r="I2" s="29" t="str">
        <f>+IF(Worksheet!$R$34=1,"Install",IF(Worksheet!$R$34=2,"Ship",IF(Worksheet!$R$34=3,"Deliver",IF(Worksheet!$R$34=4,"Will Call"))))</f>
        <v>Install</v>
      </c>
      <c r="J2" s="30"/>
      <c r="L2" s="165" t="s">
        <v>128</v>
      </c>
      <c r="M2" s="150">
        <f t="shared" ref="M2:M10" ca="1" si="0">D2</f>
        <v>40</v>
      </c>
      <c r="N2" s="151" t="s">
        <v>115</v>
      </c>
      <c r="O2" s="152">
        <f ca="1">F2</f>
        <v>13</v>
      </c>
      <c r="P2" s="151" t="s">
        <v>122</v>
      </c>
      <c r="Q2" s="153">
        <f ca="1">H2</f>
        <v>81.5</v>
      </c>
      <c r="R2" s="29" t="str">
        <f>+IF(Worksheet!$R$34=1,"Install",IF(Worksheet!$R$34=2,"Ship",IF(Worksheet!$R$34=3,"Deliver",IF(Worksheet!$R$34=4,"Will Call"))))</f>
        <v>Install</v>
      </c>
    </row>
    <row r="3" spans="1:18" ht="19.5" customHeight="1">
      <c r="C3" s="164" t="s">
        <v>121</v>
      </c>
      <c r="D3" s="19">
        <f ca="1">+IF($D11="Left of Pair",((D2+F2)*Worksheet!$AE$7)/2,IF($D11="Panel",(D2+F2)*Worksheet!$AE$7,IF($H11="SOR",D2*2.5+6,IF($H11="SOR T&amp;B",D2*2.5+6))))</f>
        <v>66.25</v>
      </c>
      <c r="E3" s="19" t="s">
        <v>122</v>
      </c>
      <c r="F3" s="369">
        <f ca="1">H2+15</f>
        <v>96.5</v>
      </c>
      <c r="G3" s="448" cm="1">
        <f t="array" aca="1" ref="G3" ca="1">INDIRECT("'Worksheet'!$Y"&amp;$B1)</f>
        <v>0</v>
      </c>
      <c r="H3" s="448"/>
      <c r="I3" s="449"/>
      <c r="L3" s="164" t="s">
        <v>121</v>
      </c>
      <c r="M3">
        <f t="shared" ca="1" si="0"/>
        <v>66.25</v>
      </c>
      <c r="N3" s="19" t="s">
        <v>122</v>
      </c>
      <c r="O3" s="369">
        <f ca="1">F3</f>
        <v>96.5</v>
      </c>
      <c r="P3" s="450">
        <f ca="1">G3</f>
        <v>0</v>
      </c>
      <c r="Q3" s="450"/>
      <c r="R3" s="451"/>
    </row>
    <row r="4" spans="1:18" ht="18" customHeight="1">
      <c r="C4" s="166"/>
      <c r="D4" s="161" cm="1">
        <f t="array" aca="1" ref="D4" ca="1">IF($D11="Left of Pair",INDIRECT("'Worksheet'!$Q"&amp;$B1)/2,IF($D11="Panel",INDIRECT("'Worksheet'!$Q"&amp;$B1)))</f>
        <v>0.9</v>
      </c>
      <c r="E4" s="42" t="s">
        <v>41</v>
      </c>
      <c r="F4" s="370"/>
      <c r="G4" s="448"/>
      <c r="H4" s="448"/>
      <c r="I4" s="449"/>
      <c r="L4" s="166"/>
      <c r="M4" s="161">
        <f t="shared" ca="1" si="0"/>
        <v>0.9</v>
      </c>
      <c r="N4" s="42" t="s">
        <v>41</v>
      </c>
      <c r="O4" s="370"/>
      <c r="P4" s="450"/>
      <c r="Q4" s="452"/>
      <c r="R4" s="453"/>
    </row>
    <row r="5" spans="1:18" ht="15.75">
      <c r="C5" s="164" t="s">
        <v>135</v>
      </c>
      <c r="D5" s="19">
        <f ca="1">+IF(D9="yes",IF($D11="Left of Pair",($D6*$H9),IF($D11="Panel",$D6*$H9,IF($H11="SOR",$D6*$H9," ")))," ")</f>
        <v>65.100000000000009</v>
      </c>
      <c r="E5" s="19" t="s">
        <v>122</v>
      </c>
      <c r="F5" s="369">
        <f ca="1">IF(D9="YES",H2+12," ")</f>
        <v>93.5</v>
      </c>
      <c r="H5" s="343" t="s">
        <v>10</v>
      </c>
      <c r="I5" s="371" cm="1">
        <f t="array" aca="1" ref="I5" ca="1">INDIRECT("'Worksheet'!$Q"&amp;B1)</f>
        <v>1.8</v>
      </c>
      <c r="L5" s="164" t="s">
        <v>135</v>
      </c>
      <c r="M5">
        <f t="shared" ca="1" si="0"/>
        <v>65.100000000000009</v>
      </c>
      <c r="N5" s="19" t="s">
        <v>122</v>
      </c>
      <c r="O5" s="369">
        <f ca="1">F5</f>
        <v>93.5</v>
      </c>
      <c r="P5" s="19"/>
      <c r="Q5" s="343" t="s">
        <v>10</v>
      </c>
      <c r="R5" s="160">
        <f ca="1">I5</f>
        <v>1.8</v>
      </c>
    </row>
    <row r="6" spans="1:18">
      <c r="C6" s="167"/>
      <c r="D6" s="161" cm="1">
        <f t="array" aca="1" ref="D6" ca="1">IF(D9="yes",IF($D11="Left of Pair",INDIRECT("'Worksheet'!$S"&amp;$B1)/2,IF($D11="Panel",INDIRECT("'Worksheet'!$S"&amp;$B1)))," ")</f>
        <v>1.05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26.5</v>
      </c>
      <c r="L6" s="167"/>
      <c r="M6" s="344">
        <f t="shared" ca="1" si="0"/>
        <v>1.05</v>
      </c>
      <c r="N6" s="345" t="s">
        <v>41</v>
      </c>
      <c r="O6" s="372"/>
      <c r="P6" s="20"/>
      <c r="Q6" s="343" t="s">
        <v>116</v>
      </c>
      <c r="R6" s="32">
        <f ca="1">I6</f>
        <v>26.5</v>
      </c>
    </row>
    <row r="7" spans="1:18" ht="15" customHeight="1">
      <c r="C7" s="168" t="s">
        <v>114</v>
      </c>
      <c r="D7" s="373" t="str" cm="1">
        <f t="array" aca="1" ref="D7" ca="1">INDIRECT("'Worksheet'!$B"&amp;$B1)</f>
        <v>Room 114</v>
      </c>
      <c r="E7" s="22"/>
      <c r="F7" s="23"/>
      <c r="G7" s="22"/>
      <c r="H7" s="24"/>
      <c r="I7" s="445" t="str" cm="1">
        <f t="array" aca="1" ref="I7" ca="1">INDIRECT("'Worksheet'!$A"&amp;$B1)</f>
        <v>P1-1</v>
      </c>
      <c r="L7" s="168" t="s">
        <v>114</v>
      </c>
      <c r="M7" s="31" t="str">
        <f t="shared" ca="1" si="0"/>
        <v>Room 114</v>
      </c>
      <c r="N7" s="20"/>
      <c r="O7" s="33"/>
      <c r="P7" s="27"/>
      <c r="Q7" s="24"/>
      <c r="R7" s="445" t="str">
        <f ca="1">I7</f>
        <v>P1-1</v>
      </c>
    </row>
    <row r="8" spans="1:18" ht="15.75" customHeight="1">
      <c r="C8" s="164" t="s">
        <v>117</v>
      </c>
      <c r="D8" s="346" cm="1">
        <f t="array" aca="1" ref="D8" ca="1">INDIRECT("'Worksheet'!$H"&amp;$B1)</f>
        <v>3.5</v>
      </c>
      <c r="E8" s="20"/>
      <c r="F8" s="169" t="s">
        <v>118</v>
      </c>
      <c r="G8" s="35"/>
      <c r="H8" s="36" t="str">
        <f>+IF(Worksheet!$R$38=TRUE,"Yes",IF(Worksheet!$R$38=FALSE,"No"))</f>
        <v>Yes</v>
      </c>
      <c r="I8" s="446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46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INDIRECT("'Worksheet'!$X"&amp;$B1)</f>
        <v xml:space="preserve">Flameguard </v>
      </c>
      <c r="F9" s="39"/>
      <c r="G9" s="20"/>
      <c r="H9" s="391" cm="1">
        <f t="array" aca="1" ref="H9" ca="1">INDIRECT("'Worksheet'!$R"&amp;$B1)</f>
        <v>62</v>
      </c>
      <c r="I9" s="446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392">
        <f ca="1">H9</f>
        <v>62</v>
      </c>
      <c r="R9" s="446"/>
    </row>
    <row r="10" spans="1:18" ht="15.75" customHeight="1">
      <c r="C10" s="164" t="s">
        <v>13</v>
      </c>
      <c r="D10" s="347" t="str" cm="1">
        <f t="array" aca="1" ref="D10" ca="1">INDIRECT("'Worksheet'!$W"&amp;$B1)</f>
        <v>5th Avenue 72</v>
      </c>
      <c r="E10" s="22"/>
      <c r="F10" s="23"/>
      <c r="G10" s="22"/>
      <c r="H10" s="391" cm="1">
        <f t="array" aca="1" ref="H10" ca="1">INDIRECT("'Worksheet'!$P"&amp;$B1)</f>
        <v>74</v>
      </c>
      <c r="I10" s="447"/>
      <c r="L10" s="164" t="s">
        <v>13</v>
      </c>
      <c r="M10" s="21" t="str">
        <f t="shared" ca="1" si="0"/>
        <v>5th Avenue 72</v>
      </c>
      <c r="N10" s="22"/>
      <c r="O10" s="23"/>
      <c r="P10" s="22"/>
      <c r="Q10" s="392">
        <f ca="1">H10</f>
        <v>74</v>
      </c>
      <c r="R10" s="447"/>
    </row>
    <row r="11" spans="1:18" ht="23.25">
      <c r="C11" s="348" cm="1">
        <f t="array" aca="1" ref="C11" ca="1">INDIRECT("'Worksheet'!$J"&amp;$B1)</f>
        <v>0</v>
      </c>
      <c r="D11" s="444" t="str" cm="1">
        <f t="array" aca="1" ref="D11" ca="1">IF(INDIRECT("'Worksheet'!$D"&amp;$B1)=1, "Left of Pair", IF(INDIRECT("'Worksheet'!$E"&amp;$B1)=1, "Panel"))</f>
        <v>Left of Pair</v>
      </c>
      <c r="E11" s="444"/>
      <c r="F11" s="444"/>
      <c r="G11" s="374"/>
      <c r="H11" s="374" t="str" cm="1">
        <f t="array" aca="1" ref="H11" ca="1">IF(INDIRECT("'Worksheet'!$F"&amp;$B1)="st","SOR T&amp;B"," ")</f>
        <v xml:space="preserve"> </v>
      </c>
      <c r="I11" s="415">
        <f>IF(Worksheet!$D$46&gt;0,Worksheet!$D$46," ")</f>
        <v>30</v>
      </c>
      <c r="L11" s="41">
        <f ca="1">$C11</f>
        <v>0</v>
      </c>
      <c r="M11" s="444" t="str" cm="1">
        <f t="array" aca="1" ref="M11" ca="1">IF(INDIRECT("'Worksheet'!$D"&amp;$B1)=1, "Right of Pair", IF(INDIRECT("'Worksheet'!$E"&amp;$B1)=1, "Do Not Use"))</f>
        <v>Right of Pair</v>
      </c>
      <c r="N11" s="444"/>
      <c r="O11" s="444"/>
      <c r="P11" s="374"/>
      <c r="Q11" s="374"/>
      <c r="R11" s="415">
        <f>IF(Worksheet!$D$46&gt;0,Worksheet!$D$46," ")</f>
        <v>30</v>
      </c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+Worksheet!$W$4</f>
        <v>Windcrest WO#J5121027-00234.01</v>
      </c>
      <c r="E15" s="22"/>
      <c r="F15" s="23"/>
      <c r="G15" s="22"/>
      <c r="H15" s="24"/>
      <c r="I15" s="25">
        <f>+Worksheet!$AR$1</f>
        <v>0</v>
      </c>
      <c r="J15" s="26"/>
      <c r="L15" s="164" t="s">
        <v>113</v>
      </c>
      <c r="M15" s="21" t="str">
        <f>+Worksheet!$W$4</f>
        <v>Windcrest WO#J5121027-00234.01</v>
      </c>
      <c r="N15" s="22"/>
      <c r="O15" s="23"/>
      <c r="P15" s="22"/>
      <c r="Q15" s="24"/>
      <c r="R15" s="25">
        <f>+Worksheet!$AR$1</f>
        <v>0</v>
      </c>
    </row>
    <row r="16" spans="1:18" ht="33" customHeight="1">
      <c r="C16" s="165" t="s">
        <v>128</v>
      </c>
      <c r="D16" s="150" cm="1">
        <f t="array" aca="1" ref="D16" ca="1">INDIRECT("'Worksheet'!$K"&amp;$B15)</f>
        <v>36</v>
      </c>
      <c r="E16" s="151" t="s">
        <v>115</v>
      </c>
      <c r="F16" s="150" cm="1">
        <f t="array" aca="1" ref="F16" ca="1">INDIRECT("'Worksheet'!$M"&amp;$B15)</f>
        <v>13</v>
      </c>
      <c r="G16" s="151" t="s">
        <v>122</v>
      </c>
      <c r="H16" s="150" cm="1">
        <f t="array" aca="1" ref="H16" ca="1">INDIRECT("'Worksheet'!$O"&amp;$B15)</f>
        <v>83</v>
      </c>
      <c r="I16" s="29" t="str">
        <f>+IF(Worksheet!$R$34=1,"Install",IF(Worksheet!$R$34=2,"Ship",IF(Worksheet!$R$34=3,"Deliver",IF(Worksheet!$R$34=4,"Will Call"))))</f>
        <v>Install</v>
      </c>
      <c r="J16" s="30"/>
      <c r="L16" s="165" t="s">
        <v>128</v>
      </c>
      <c r="M16" s="150">
        <f t="shared" ref="M16:M24" ca="1" si="1">D16</f>
        <v>36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83</v>
      </c>
      <c r="R16" s="29" t="str">
        <f>+IF(Worksheet!$R$34=1,"Install",IF(Worksheet!$R$34=2,"Ship",IF(Worksheet!$R$34=3,"Deliver",IF(Worksheet!$R$34=4,"Will Call"))))</f>
        <v>Install</v>
      </c>
    </row>
    <row r="17" spans="1:18" ht="12.75" customHeight="1">
      <c r="C17" s="164" t="s">
        <v>121</v>
      </c>
      <c r="D17" s="19">
        <f ca="1">+IF($D25="Left of Pair",((D16+F16)*Worksheet!$AE$7)/2,IF($D25="Panel",(D16+F16)*Worksheet!$AE$7,IF($H25="SOR",D16*2.5+6,IF($H25="SOR T&amp;B",D16*2.5+6))))</f>
        <v>61.25</v>
      </c>
      <c r="E17" s="19" t="s">
        <v>122</v>
      </c>
      <c r="F17" s="369">
        <f ca="1">H16+15</f>
        <v>98</v>
      </c>
      <c r="G17" s="448" cm="1">
        <f t="array" aca="1" ref="G17" ca="1">INDIRECT("'Worksheet'!$Y"&amp;$B15)</f>
        <v>0</v>
      </c>
      <c r="H17" s="448"/>
      <c r="I17" s="449"/>
      <c r="L17" s="164" t="s">
        <v>121</v>
      </c>
      <c r="M17">
        <f t="shared" ca="1" si="1"/>
        <v>61.25</v>
      </c>
      <c r="N17" s="19" t="s">
        <v>122</v>
      </c>
      <c r="O17" s="369">
        <f ca="1">F17</f>
        <v>98</v>
      </c>
      <c r="P17" s="450">
        <f ca="1">G17</f>
        <v>0</v>
      </c>
      <c r="Q17" s="450"/>
      <c r="R17" s="451"/>
    </row>
    <row r="18" spans="1:18" ht="16.149999999999999" customHeight="1">
      <c r="C18" s="166"/>
      <c r="D18" s="161" cm="1">
        <f t="array" aca="1" ref="D18" ca="1">IF($D25="Left of Pair",INDIRECT("'Worksheet'!$Q"&amp;$B15)/2,IF($D25="Panel",INDIRECT("'Worksheet'!$Q"&amp;$B15)))</f>
        <v>0.85</v>
      </c>
      <c r="E18" s="42" t="s">
        <v>41</v>
      </c>
      <c r="F18" s="370"/>
      <c r="G18" s="448"/>
      <c r="H18" s="448"/>
      <c r="I18" s="449"/>
      <c r="L18" s="166"/>
      <c r="M18" s="161">
        <f t="shared" ca="1" si="1"/>
        <v>0.85</v>
      </c>
      <c r="N18" s="42" t="s">
        <v>41</v>
      </c>
      <c r="O18" s="370"/>
      <c r="P18" s="450"/>
      <c r="Q18" s="452"/>
      <c r="R18" s="453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62</v>
      </c>
      <c r="E19" s="19" t="s">
        <v>122</v>
      </c>
      <c r="F19" s="369">
        <f ca="1">IF(D23="YES",H16+12," ")</f>
        <v>95</v>
      </c>
      <c r="H19" s="343" t="s">
        <v>10</v>
      </c>
      <c r="I19" s="371" cm="1">
        <f t="array" aca="1" ref="I19" ca="1">INDIRECT("'Worksheet'!$Q"&amp;B15)</f>
        <v>1.7</v>
      </c>
      <c r="L19" s="164" t="s">
        <v>135</v>
      </c>
      <c r="M19">
        <f t="shared" ca="1" si="1"/>
        <v>62</v>
      </c>
      <c r="N19" s="19" t="s">
        <v>122</v>
      </c>
      <c r="O19" s="369">
        <f ca="1">F19</f>
        <v>95</v>
      </c>
      <c r="P19" s="19"/>
      <c r="Q19" s="343" t="s">
        <v>10</v>
      </c>
      <c r="R19" s="160">
        <f ca="1">I19</f>
        <v>1.7</v>
      </c>
    </row>
    <row r="20" spans="1:18">
      <c r="C20" s="167"/>
      <c r="D20" s="161" cm="1">
        <f t="array" aca="1" ref="D20" ca="1">IF(D23="yes",IF($D25="Left of Pair",INDIRECT("'Worksheet'!$S"&amp;$B15)/2,IF($D25="Panel",INDIRECT("'Worksheet'!$S"&amp;$B15)))," ")</f>
        <v>1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24.5</v>
      </c>
      <c r="L20" s="167"/>
      <c r="M20" s="344">
        <f t="shared" ca="1" si="1"/>
        <v>1</v>
      </c>
      <c r="N20" s="345" t="s">
        <v>41</v>
      </c>
      <c r="O20" s="372"/>
      <c r="P20" s="20"/>
      <c r="Q20" s="343" t="s">
        <v>116</v>
      </c>
      <c r="R20" s="32">
        <f ca="1">I20</f>
        <v>24.5</v>
      </c>
    </row>
    <row r="21" spans="1:18" ht="12.75" customHeight="1">
      <c r="C21" s="168" t="s">
        <v>114</v>
      </c>
      <c r="D21" s="373" t="str" cm="1">
        <f t="array" aca="1" ref="D21" ca="1">INDIRECT("'Worksheet'!$B"&amp;$B15)</f>
        <v>Room 115</v>
      </c>
      <c r="E21" s="22"/>
      <c r="F21" s="23"/>
      <c r="G21" s="22"/>
      <c r="H21" s="24"/>
      <c r="I21" s="445" t="str" cm="1">
        <f t="array" aca="1" ref="I21" ca="1">INDIRECT("'Worksheet'!$A"&amp;$B15)</f>
        <v>P1-2</v>
      </c>
      <c r="L21" s="168" t="s">
        <v>114</v>
      </c>
      <c r="M21" s="31" t="str">
        <f t="shared" ca="1" si="1"/>
        <v>Room 115</v>
      </c>
      <c r="N21" s="20"/>
      <c r="O21" s="33"/>
      <c r="P21" s="27"/>
      <c r="Q21" s="24"/>
      <c r="R21" s="445" t="str">
        <f ca="1">I21</f>
        <v>P1-2</v>
      </c>
    </row>
    <row r="22" spans="1:18" ht="15.75" customHeight="1">
      <c r="C22" s="164" t="s">
        <v>117</v>
      </c>
      <c r="D22" s="346" cm="1">
        <f t="array" aca="1" ref="D22" ca="1">INDIRECT("'Worksheet'!$H"&amp;$B15)</f>
        <v>3.5</v>
      </c>
      <c r="E22" s="20"/>
      <c r="F22" s="169" t="s">
        <v>118</v>
      </c>
      <c r="G22" s="35"/>
      <c r="H22" s="36" t="str">
        <f>+IF(Worksheet!$R$38=TRUE,"Yes",IF(Worksheet!$R$38=FALSE,"No"))</f>
        <v>Yes</v>
      </c>
      <c r="I22" s="446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46"/>
    </row>
    <row r="23" spans="1:18" ht="15.75" customHeight="1">
      <c r="C23" s="164" t="s">
        <v>119</v>
      </c>
      <c r="D23" s="37" t="str">
        <f ca="1">IF($E23&gt;0,"YES"," ")</f>
        <v>YES</v>
      </c>
      <c r="E23" s="347" t="str" cm="1">
        <f t="array" aca="1" ref="E23" ca="1">INDIRECT("'Worksheet'!$X"&amp;$B15)</f>
        <v xml:space="preserve">Flameguard </v>
      </c>
      <c r="F23" s="39"/>
      <c r="G23" s="20"/>
      <c r="H23" s="391" cm="1">
        <f t="array" aca="1" ref="H23" ca="1">INDIRECT("'Worksheet'!$R"&amp;$B15)</f>
        <v>62</v>
      </c>
      <c r="I23" s="446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392">
        <f ca="1">H23</f>
        <v>62</v>
      </c>
      <c r="R23" s="446"/>
    </row>
    <row r="24" spans="1:18" ht="15.75" customHeight="1">
      <c r="C24" s="164" t="s">
        <v>13</v>
      </c>
      <c r="D24" s="347" t="str" cm="1">
        <f t="array" aca="1" ref="D24" ca="1">INDIRECT("'Worksheet'!$W"&amp;$B15)</f>
        <v>5th Avenue 72</v>
      </c>
      <c r="E24" s="22"/>
      <c r="F24" s="23"/>
      <c r="G24" s="22"/>
      <c r="H24" s="391" cm="1">
        <f t="array" aca="1" ref="H24" ca="1">INDIRECT("'Worksheet'!$P"&amp;$B15)</f>
        <v>74</v>
      </c>
      <c r="I24" s="447"/>
      <c r="L24" s="164" t="s">
        <v>13</v>
      </c>
      <c r="M24" s="21" t="str">
        <f t="shared" ca="1" si="1"/>
        <v>5th Avenue 72</v>
      </c>
      <c r="N24" s="22"/>
      <c r="O24" s="23"/>
      <c r="P24" s="22"/>
      <c r="Q24" s="392">
        <f ca="1">H24</f>
        <v>74</v>
      </c>
      <c r="R24" s="447"/>
    </row>
    <row r="25" spans="1:18" ht="23.25">
      <c r="C25" s="348" cm="1">
        <f t="array" aca="1" ref="C25" ca="1">INDIRECT("'Worksheet'!$J"&amp;$B15)</f>
        <v>0</v>
      </c>
      <c r="D25" s="444" t="str" cm="1">
        <f t="array" aca="1" ref="D25" ca="1">IF(INDIRECT("'Worksheet'!$D"&amp;$B15)=1, "Left of Pair", IF(INDIRECT("'Worksheet'!$E"&amp;$B15)=1, "Panel"))</f>
        <v>Left of Pair</v>
      </c>
      <c r="E25" s="444"/>
      <c r="F25" s="444"/>
      <c r="G25" s="374"/>
      <c r="H25" s="374" t="str" cm="1">
        <f t="array" aca="1" ref="H25" ca="1">IF(INDIRECT("'Worksheet'!$F"&amp;$B15)="st","SOR T&amp;B"," ")</f>
        <v xml:space="preserve"> </v>
      </c>
      <c r="I25" s="415">
        <f>IF(Worksheet!$D$46&gt;0,Worksheet!$D$46," ")</f>
        <v>30</v>
      </c>
      <c r="L25" s="41">
        <f ca="1">$C25</f>
        <v>0</v>
      </c>
      <c r="M25" s="444" t="str" cm="1">
        <f t="array" aca="1" ref="M25" ca="1">IF(INDIRECT("'Worksheet'!$D"&amp;$B15)=1, "Right of Pair", IF(INDIRECT("'Worksheet'!$E"&amp;$B15)=1, "Do Not Use"))</f>
        <v>Right of Pair</v>
      </c>
      <c r="N25" s="444"/>
      <c r="O25" s="444"/>
      <c r="P25" s="374"/>
      <c r="Q25" s="374"/>
      <c r="R25" s="415">
        <f>IF(Worksheet!$D$46&gt;0,Worksheet!$D$46," ")</f>
        <v>30</v>
      </c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+Worksheet!$W$4</f>
        <v>Windcrest WO#J5121027-00234.01</v>
      </c>
      <c r="E29" s="22"/>
      <c r="F29" s="23"/>
      <c r="G29" s="22"/>
      <c r="H29" s="24"/>
      <c r="I29" s="25">
        <f>+Worksheet!$AR$1</f>
        <v>0</v>
      </c>
      <c r="J29" s="26"/>
      <c r="L29" s="164" t="s">
        <v>113</v>
      </c>
      <c r="M29" s="21" t="str">
        <f>+Worksheet!$W$4</f>
        <v>Windcrest WO#J5121027-00234.01</v>
      </c>
      <c r="N29" s="22"/>
      <c r="O29" s="23"/>
      <c r="P29" s="22"/>
      <c r="Q29" s="24"/>
      <c r="R29" s="25">
        <f>+Worksheet!$AR$1</f>
        <v>0</v>
      </c>
    </row>
    <row r="30" spans="1:18" ht="33" customHeight="1">
      <c r="C30" s="165" t="s">
        <v>128</v>
      </c>
      <c r="D30" s="150" cm="1">
        <f t="array" aca="1" ref="D30" ca="1">INDIRECT("'Worksheet'!$K"&amp;$B29)</f>
        <v>40</v>
      </c>
      <c r="E30" s="151" t="s">
        <v>115</v>
      </c>
      <c r="F30" s="150" cm="1">
        <f t="array" aca="1" ref="F30" ca="1">INDIRECT("'Worksheet'!$M"&amp;$B29)</f>
        <v>13</v>
      </c>
      <c r="G30" s="151" t="s">
        <v>122</v>
      </c>
      <c r="H30" s="150" cm="1">
        <f t="array" aca="1" ref="H30" ca="1">INDIRECT("'Worksheet'!$O"&amp;$B29)</f>
        <v>83</v>
      </c>
      <c r="I30" s="29" t="str">
        <f>+IF(Worksheet!$R$34=1,"Install",IF(Worksheet!$R$34=2,"Ship",IF(Worksheet!$R$34=3,"Deliver",IF(Worksheet!$R$34=4,"Will Call"))))</f>
        <v>Install</v>
      </c>
      <c r="J30" s="30"/>
      <c r="L30" s="165" t="s">
        <v>128</v>
      </c>
      <c r="M30" s="150">
        <f t="shared" ref="M30:M38" ca="1" si="2">D30</f>
        <v>40</v>
      </c>
      <c r="N30" s="151" t="s">
        <v>115</v>
      </c>
      <c r="O30" s="152">
        <f ca="1">F30</f>
        <v>13</v>
      </c>
      <c r="P30" s="151" t="s">
        <v>122</v>
      </c>
      <c r="Q30" s="153">
        <f ca="1">H30</f>
        <v>83</v>
      </c>
      <c r="R30" s="29" t="str">
        <f>+IF(Worksheet!$R$34=1,"Install",IF(Worksheet!$R$34=2,"Ship",IF(Worksheet!$R$34=3,"Deliver",IF(Worksheet!$R$34=4,"Will Call"))))</f>
        <v>Install</v>
      </c>
    </row>
    <row r="31" spans="1:18" ht="12.75" customHeight="1">
      <c r="C31" s="164" t="s">
        <v>121</v>
      </c>
      <c r="D31" s="19">
        <f ca="1">+IF($D39="Left of Pair",((D30+F30)*Worksheet!$AE$7)/2,IF($D39="Panel",(D30+F30)*Worksheet!$AE$7,IF($H39="SOR",D30*2.5+6,IF($H39="SOR T&amp;B",D30*2.5+6))))</f>
        <v>66.25</v>
      </c>
      <c r="E31" s="19" t="s">
        <v>122</v>
      </c>
      <c r="F31" s="369">
        <f ca="1">H30+15</f>
        <v>98</v>
      </c>
      <c r="G31" s="448" cm="1">
        <f t="array" aca="1" ref="G31" ca="1">INDIRECT("'Worksheet'!$Y"&amp;$B29)</f>
        <v>0</v>
      </c>
      <c r="H31" s="448"/>
      <c r="I31" s="449"/>
      <c r="L31" s="164" t="s">
        <v>121</v>
      </c>
      <c r="M31">
        <f t="shared" ca="1" si="2"/>
        <v>66.25</v>
      </c>
      <c r="N31" s="19" t="s">
        <v>122</v>
      </c>
      <c r="O31" s="369">
        <f ca="1">F31</f>
        <v>98</v>
      </c>
      <c r="P31" s="450">
        <f ca="1">G31</f>
        <v>0</v>
      </c>
      <c r="Q31" s="450"/>
      <c r="R31" s="451"/>
    </row>
    <row r="32" spans="1:18" ht="16.899999999999999" customHeight="1">
      <c r="C32" s="166"/>
      <c r="D32" s="161" cm="1">
        <f t="array" aca="1" ref="D32" ca="1">IF($D39="Left of Pair",INDIRECT("'Worksheet'!$Q"&amp;$B29)/2,IF($D39="Panel",INDIRECT("'Worksheet'!$Q"&amp;$B29)))</f>
        <v>0.9</v>
      </c>
      <c r="E32" s="42" t="s">
        <v>41</v>
      </c>
      <c r="F32" s="370"/>
      <c r="G32" s="448"/>
      <c r="H32" s="448"/>
      <c r="I32" s="449"/>
      <c r="L32" s="166"/>
      <c r="M32" s="161">
        <f t="shared" ca="1" si="2"/>
        <v>0.9</v>
      </c>
      <c r="N32" s="42" t="s">
        <v>41</v>
      </c>
      <c r="O32" s="370"/>
      <c r="P32" s="450"/>
      <c r="Q32" s="452"/>
      <c r="R32" s="453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65.100000000000009</v>
      </c>
      <c r="E33" s="19" t="s">
        <v>122</v>
      </c>
      <c r="F33" s="369">
        <f ca="1">IF(D37="YES",H30+12," ")</f>
        <v>95</v>
      </c>
      <c r="H33" s="343" t="s">
        <v>10</v>
      </c>
      <c r="I33" s="371" cm="1">
        <f t="array" aca="1" ref="I33" ca="1">INDIRECT("'Worksheet'!$Q"&amp;B29)</f>
        <v>1.8</v>
      </c>
      <c r="L33" s="164" t="s">
        <v>135</v>
      </c>
      <c r="M33">
        <f t="shared" ca="1" si="2"/>
        <v>65.100000000000009</v>
      </c>
      <c r="N33" s="19" t="s">
        <v>122</v>
      </c>
      <c r="O33" s="369">
        <f ca="1">F33</f>
        <v>95</v>
      </c>
      <c r="P33" s="19"/>
      <c r="Q33" s="343" t="s">
        <v>10</v>
      </c>
      <c r="R33" s="160">
        <f ca="1">I33</f>
        <v>1.8</v>
      </c>
    </row>
    <row r="34" spans="1:18">
      <c r="C34" s="167"/>
      <c r="D34" s="161" cm="1">
        <f t="array" aca="1" ref="D34" ca="1">IF(D37="yes",IF($D39="Left of Pair",INDIRECT("'Worksheet'!$S"&amp;$B29)/2,IF($D39="Panel",INDIRECT("'Worksheet'!$S"&amp;$B29)))," ")</f>
        <v>1.05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26.5</v>
      </c>
      <c r="L34" s="167"/>
      <c r="M34" s="344">
        <f t="shared" ca="1" si="2"/>
        <v>1.05</v>
      </c>
      <c r="N34" s="345" t="s">
        <v>41</v>
      </c>
      <c r="O34" s="372"/>
      <c r="P34" s="20"/>
      <c r="Q34" s="343" t="s">
        <v>116</v>
      </c>
      <c r="R34" s="32">
        <f ca="1">I34</f>
        <v>26.5</v>
      </c>
    </row>
    <row r="35" spans="1:18" ht="12.75" customHeight="1">
      <c r="C35" s="168" t="s">
        <v>114</v>
      </c>
      <c r="D35" s="373" t="str" cm="1">
        <f t="array" aca="1" ref="D35" ca="1">INDIRECT("'Worksheet'!$B"&amp;$B29)</f>
        <v>Room 115</v>
      </c>
      <c r="E35" s="22"/>
      <c r="F35" s="23"/>
      <c r="G35" s="22"/>
      <c r="H35" s="24"/>
      <c r="I35" s="445" t="str" cm="1">
        <f t="array" aca="1" ref="I35" ca="1">INDIRECT("'Worksheet'!$A"&amp;$B29)</f>
        <v>P1-3</v>
      </c>
      <c r="L35" s="168" t="s">
        <v>114</v>
      </c>
      <c r="M35" s="31" t="str">
        <f t="shared" ca="1" si="2"/>
        <v>Room 115</v>
      </c>
      <c r="N35" s="20"/>
      <c r="O35" s="33"/>
      <c r="P35" s="27"/>
      <c r="Q35" s="24"/>
      <c r="R35" s="445" t="str">
        <f ca="1">I35</f>
        <v>P1-3</v>
      </c>
    </row>
    <row r="36" spans="1:18" ht="15.75" customHeight="1">
      <c r="C36" s="164" t="s">
        <v>117</v>
      </c>
      <c r="D36" s="346" cm="1">
        <f t="array" aca="1" ref="D36" ca="1">INDIRECT("'Worksheet'!$H"&amp;$B29)</f>
        <v>3.5</v>
      </c>
      <c r="E36" s="20"/>
      <c r="F36" s="169" t="s">
        <v>118</v>
      </c>
      <c r="G36" s="35"/>
      <c r="H36" s="36" t="str">
        <f>+IF(Worksheet!$R$38=TRUE,"Yes",IF(Worksheet!$R$38=FALSE,"No"))</f>
        <v>Yes</v>
      </c>
      <c r="I36" s="446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46"/>
    </row>
    <row r="37" spans="1:18" ht="15.75" customHeight="1">
      <c r="C37" s="164" t="s">
        <v>119</v>
      </c>
      <c r="D37" s="37" t="str">
        <f ca="1">IF($E37&gt;0,"YES"," ")</f>
        <v>YES</v>
      </c>
      <c r="E37" s="347" t="str" cm="1">
        <f t="array" aca="1" ref="E37" ca="1">INDIRECT("'Worksheet'!$X"&amp;$B29)</f>
        <v xml:space="preserve">Flameguard </v>
      </c>
      <c r="F37" s="39"/>
      <c r="G37" s="20"/>
      <c r="H37" s="391" cm="1">
        <f t="array" aca="1" ref="H37" ca="1">INDIRECT("'Worksheet'!$R"&amp;$B29)</f>
        <v>62</v>
      </c>
      <c r="I37" s="446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392">
        <f ca="1">H37</f>
        <v>62</v>
      </c>
      <c r="R37" s="446"/>
    </row>
    <row r="38" spans="1:18" ht="15.75" customHeight="1">
      <c r="C38" s="164" t="s">
        <v>13</v>
      </c>
      <c r="D38" s="347" t="str" cm="1">
        <f t="array" aca="1" ref="D38" ca="1">INDIRECT("'Worksheet'!$W"&amp;$B29)</f>
        <v>5th Avenue 72</v>
      </c>
      <c r="E38" s="22"/>
      <c r="F38" s="23"/>
      <c r="G38" s="22"/>
      <c r="H38" s="391" cm="1">
        <f t="array" aca="1" ref="H38" ca="1">INDIRECT("'Worksheet'!$P"&amp;$B29)</f>
        <v>74</v>
      </c>
      <c r="I38" s="447"/>
      <c r="L38" s="164" t="s">
        <v>13</v>
      </c>
      <c r="M38" s="21" t="str">
        <f t="shared" ca="1" si="2"/>
        <v>5th Avenue 72</v>
      </c>
      <c r="N38" s="22"/>
      <c r="O38" s="23"/>
      <c r="P38" s="22"/>
      <c r="Q38" s="392">
        <f ca="1">H38</f>
        <v>74</v>
      </c>
      <c r="R38" s="447"/>
    </row>
    <row r="39" spans="1:18" ht="20.25" customHeight="1">
      <c r="C39" s="348" cm="1">
        <f t="array" aca="1" ref="C39" ca="1">INDIRECT("'Worksheet'!$J"&amp;$B29)</f>
        <v>0</v>
      </c>
      <c r="D39" s="444" t="str" cm="1">
        <f t="array" aca="1" ref="D39" ca="1">IF(INDIRECT("'Worksheet'!$D"&amp;$B29)=1, "Left of Pair", IF(INDIRECT("'Worksheet'!$E"&amp;$B29)=1, "Panel"))</f>
        <v>Left of Pair</v>
      </c>
      <c r="E39" s="444"/>
      <c r="F39" s="444"/>
      <c r="G39" s="374"/>
      <c r="H39" s="374" t="str" cm="1">
        <f t="array" aca="1" ref="H39" ca="1">IF(INDIRECT("'Worksheet'!$F"&amp;$B29)="st","SOR T&amp;B"," ")</f>
        <v xml:space="preserve"> </v>
      </c>
      <c r="I39" s="415">
        <f>IF(Worksheet!$D$46&gt;0,Worksheet!$D$46," ")</f>
        <v>30</v>
      </c>
      <c r="L39" s="41">
        <f ca="1">$C39</f>
        <v>0</v>
      </c>
      <c r="M39" s="444" t="str" cm="1">
        <f t="array" aca="1" ref="M39" ca="1">IF(INDIRECT("'Worksheet'!$D"&amp;$B29)=1, "Right of Pair", IF(INDIRECT("'Worksheet'!$E"&amp;$B29)=1, "Do Not Use"))</f>
        <v>Right of Pair</v>
      </c>
      <c r="N39" s="444"/>
      <c r="O39" s="444"/>
      <c r="P39" s="374"/>
      <c r="Q39" s="374"/>
      <c r="R39" s="415">
        <f>IF(Worksheet!$D$46&gt;0,Worksheet!$D$46," ")</f>
        <v>30</v>
      </c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+Worksheet!$W$4</f>
        <v>Windcrest WO#J5121027-00234.01</v>
      </c>
      <c r="E43" s="22"/>
      <c r="F43" s="23"/>
      <c r="G43" s="22"/>
      <c r="H43" s="24"/>
      <c r="I43" s="25">
        <f>+Worksheet!$AR$1</f>
        <v>0</v>
      </c>
      <c r="J43" s="26"/>
      <c r="L43" s="164" t="s">
        <v>113</v>
      </c>
      <c r="M43" s="21" t="str">
        <f>+Worksheet!$W$4</f>
        <v>Windcrest WO#J5121027-00234.01</v>
      </c>
      <c r="N43" s="22"/>
      <c r="O43" s="23"/>
      <c r="P43" s="22"/>
      <c r="Q43" s="24"/>
      <c r="R43" s="25">
        <f>+Worksheet!$AR$1</f>
        <v>0</v>
      </c>
    </row>
    <row r="44" spans="1:18" ht="32.25">
      <c r="C44" s="165" t="s">
        <v>128</v>
      </c>
      <c r="D44" s="150" cm="1">
        <f t="array" aca="1" ref="D44" ca="1">INDIRECT("'Worksheet'!$K"&amp;$B43)</f>
        <v>60</v>
      </c>
      <c r="E44" s="151" t="s">
        <v>115</v>
      </c>
      <c r="F44" s="150" cm="1">
        <f t="array" aca="1" ref="F44" ca="1">INDIRECT("'Worksheet'!$M"&amp;$B43)</f>
        <v>13</v>
      </c>
      <c r="G44" s="151" t="s">
        <v>122</v>
      </c>
      <c r="H44" s="150" cm="1">
        <f t="array" aca="1" ref="H44" ca="1">INDIRECT("'Worksheet'!$O"&amp;$B43)</f>
        <v>84</v>
      </c>
      <c r="I44" s="29" t="str">
        <f>+IF(Worksheet!$R$34=1,"Install",IF(Worksheet!$R$34=2,"Ship",IF(Worksheet!$R$34=3,"Deliver",IF(Worksheet!$R$34=4,"Will Call"))))</f>
        <v>Install</v>
      </c>
      <c r="J44" s="30"/>
      <c r="L44" s="165" t="s">
        <v>128</v>
      </c>
      <c r="M44" s="150">
        <f t="shared" ref="M44:M52" ca="1" si="3">D44</f>
        <v>60</v>
      </c>
      <c r="N44" s="151" t="s">
        <v>115</v>
      </c>
      <c r="O44" s="152">
        <f ca="1">F44</f>
        <v>13</v>
      </c>
      <c r="P44" s="151" t="s">
        <v>122</v>
      </c>
      <c r="Q44" s="153">
        <f ca="1">H44</f>
        <v>84</v>
      </c>
      <c r="R44" s="29" t="str">
        <f>+IF(Worksheet!$R$34=1,"Install",IF(Worksheet!$R$34=2,"Ship",IF(Worksheet!$R$34=3,"Deliver",IF(Worksheet!$R$34=4,"Will Call"))))</f>
        <v>Install</v>
      </c>
    </row>
    <row r="45" spans="1:18" ht="12.75" customHeight="1">
      <c r="C45" s="164" t="s">
        <v>121</v>
      </c>
      <c r="D45" s="19">
        <f ca="1">+IF($D53="Left of Pair",((D44+F44)*Worksheet!$AE$7)/2,IF($D53="Panel",(D44+F44)*Worksheet!$AE$7,IF($H53="SOR",D44*2.5+6,IF($H53="SOR T&amp;B",D44*2.5+6))))</f>
        <v>91.25</v>
      </c>
      <c r="E45" s="19" t="s">
        <v>122</v>
      </c>
      <c r="F45" s="369">
        <f ca="1">H44+15</f>
        <v>99</v>
      </c>
      <c r="G45" s="448" cm="1">
        <f t="array" aca="1" ref="G45" ca="1">INDIRECT("'Worksheet'!$Y"&amp;$B43)</f>
        <v>0</v>
      </c>
      <c r="H45" s="448"/>
      <c r="I45" s="449"/>
      <c r="L45" s="164" t="s">
        <v>121</v>
      </c>
      <c r="M45">
        <f t="shared" ca="1" si="3"/>
        <v>91.25</v>
      </c>
      <c r="N45" s="19" t="s">
        <v>122</v>
      </c>
      <c r="O45" s="369">
        <f ca="1">F45</f>
        <v>99</v>
      </c>
      <c r="P45" s="450">
        <f ca="1">G45</f>
        <v>0</v>
      </c>
      <c r="Q45" s="450"/>
      <c r="R45" s="451"/>
    </row>
    <row r="46" spans="1:18" ht="19.5" customHeight="1">
      <c r="C46" s="166"/>
      <c r="D46" s="161" cm="1">
        <f t="array" aca="1" ref="D46" ca="1">IF($D53="Left of Pair",INDIRECT("'Worksheet'!$Q"&amp;$B43)/2,IF($D53="Panel",INDIRECT("'Worksheet'!$Q"&amp;$B43)))</f>
        <v>1.25</v>
      </c>
      <c r="E46" s="42" t="s">
        <v>41</v>
      </c>
      <c r="F46" s="370"/>
      <c r="G46" s="448"/>
      <c r="H46" s="448"/>
      <c r="I46" s="449"/>
      <c r="L46" s="166"/>
      <c r="M46" s="161">
        <f t="shared" ca="1" si="3"/>
        <v>1.25</v>
      </c>
      <c r="N46" s="42" t="s">
        <v>41</v>
      </c>
      <c r="O46" s="370"/>
      <c r="P46" s="450"/>
      <c r="Q46" s="452"/>
      <c r="R46" s="453"/>
    </row>
    <row r="47" spans="1:18" ht="15.75">
      <c r="C47" s="164" t="s">
        <v>135</v>
      </c>
      <c r="D47" s="19">
        <f ca="1">+IF(D51="yes",IF($D53="Left of Pair",($D48*$H51),IF($D53="Panel",$D48*$H51,IF($H53="SOR",$D48*$H51," ")))," ")</f>
        <v>89.899999999999991</v>
      </c>
      <c r="E47" s="19" t="s">
        <v>122</v>
      </c>
      <c r="F47" s="369">
        <f ca="1">IF(D51="YES",H44+12," ")</f>
        <v>96</v>
      </c>
      <c r="H47" s="343" t="s">
        <v>10</v>
      </c>
      <c r="I47" s="371" cm="1">
        <f t="array" aca="1" ref="I47" ca="1">INDIRECT("'Worksheet'!$Q"&amp;B43)</f>
        <v>2.5</v>
      </c>
      <c r="L47" s="164" t="s">
        <v>135</v>
      </c>
      <c r="M47">
        <f t="shared" ca="1" si="3"/>
        <v>89.899999999999991</v>
      </c>
      <c r="N47" s="19" t="s">
        <v>122</v>
      </c>
      <c r="O47" s="369">
        <f ca="1">F47</f>
        <v>96</v>
      </c>
      <c r="P47" s="19"/>
      <c r="Q47" s="343" t="s">
        <v>10</v>
      </c>
      <c r="R47" s="160">
        <f ca="1">I47</f>
        <v>2.5</v>
      </c>
    </row>
    <row r="48" spans="1:18">
      <c r="C48" s="167"/>
      <c r="D48" s="161" cm="1">
        <f t="array" aca="1" ref="D48" ca="1">IF(D51="yes",IF($D53="Left of Pair",INDIRECT("'Worksheet'!$S"&amp;$B43)/2,IF($D53="Panel",INDIRECT("'Worksheet'!$S"&amp;$B43)))," ")</f>
        <v>1.45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36.5</v>
      </c>
      <c r="L48" s="167"/>
      <c r="M48" s="344">
        <f t="shared" ca="1" si="3"/>
        <v>1.45</v>
      </c>
      <c r="N48" s="345" t="s">
        <v>41</v>
      </c>
      <c r="O48" s="372"/>
      <c r="P48" s="20"/>
      <c r="Q48" s="343" t="s">
        <v>116</v>
      </c>
      <c r="R48" s="32">
        <f ca="1">I48</f>
        <v>36.5</v>
      </c>
    </row>
    <row r="49" spans="1:18" ht="12.75" customHeight="1">
      <c r="C49" s="168" t="s">
        <v>114</v>
      </c>
      <c r="D49" s="373" t="str" cm="1">
        <f t="array" aca="1" ref="D49" ca="1">INDIRECT("'Worksheet'!$B"&amp;$B43)</f>
        <v>Room 116</v>
      </c>
      <c r="E49" s="22"/>
      <c r="F49" s="23"/>
      <c r="G49" s="22"/>
      <c r="H49" s="24"/>
      <c r="I49" s="445" t="str" cm="1">
        <f t="array" aca="1" ref="I49" ca="1">INDIRECT("'Worksheet'!$A"&amp;$B43)</f>
        <v>P1-4</v>
      </c>
      <c r="L49" s="168" t="s">
        <v>114</v>
      </c>
      <c r="M49" s="31" t="str">
        <f t="shared" ca="1" si="3"/>
        <v>Room 116</v>
      </c>
      <c r="N49" s="20"/>
      <c r="O49" s="33"/>
      <c r="P49" s="27"/>
      <c r="Q49" s="24"/>
      <c r="R49" s="445" t="str">
        <f ca="1">I49</f>
        <v>P1-4</v>
      </c>
    </row>
    <row r="50" spans="1:18" ht="15.75" customHeight="1">
      <c r="C50" s="164" t="s">
        <v>117</v>
      </c>
      <c r="D50" s="346" cm="1">
        <f t="array" aca="1" ref="D50" ca="1">INDIRECT("'Worksheet'!$H"&amp;$B43)</f>
        <v>3.5</v>
      </c>
      <c r="E50" s="20"/>
      <c r="F50" s="169" t="s">
        <v>118</v>
      </c>
      <c r="G50" s="35"/>
      <c r="H50" s="36" t="str">
        <f>+IF(Worksheet!$R$38=TRUE,"Yes",IF(Worksheet!$R$38=FALSE,"No"))</f>
        <v>Yes</v>
      </c>
      <c r="I50" s="446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46"/>
    </row>
    <row r="51" spans="1:18" ht="15.75" customHeight="1">
      <c r="C51" s="164" t="s">
        <v>119</v>
      </c>
      <c r="D51" s="37" t="str">
        <f ca="1">IF($E51&gt;0,"YES"," ")</f>
        <v>YES</v>
      </c>
      <c r="E51" s="347" t="str" cm="1">
        <f t="array" aca="1" ref="E51" ca="1">INDIRECT("'Worksheet'!$X"&amp;$B43)</f>
        <v xml:space="preserve">Flameguard </v>
      </c>
      <c r="F51" s="39"/>
      <c r="G51" s="20"/>
      <c r="H51" s="391" cm="1">
        <f t="array" aca="1" ref="H51" ca="1">INDIRECT("'Worksheet'!$R"&amp;$B43)</f>
        <v>62</v>
      </c>
      <c r="I51" s="446"/>
      <c r="J51" s="40"/>
      <c r="L51" s="164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392">
        <f ca="1">H51</f>
        <v>62</v>
      </c>
      <c r="R51" s="446"/>
    </row>
    <row r="52" spans="1:18" ht="15.75" customHeight="1">
      <c r="C52" s="164" t="s">
        <v>13</v>
      </c>
      <c r="D52" s="347" t="str" cm="1">
        <f t="array" aca="1" ref="D52" ca="1">INDIRECT("'Worksheet'!$W"&amp;$B43)</f>
        <v>5th Avenue 72</v>
      </c>
      <c r="E52" s="22"/>
      <c r="F52" s="23"/>
      <c r="G52" s="22"/>
      <c r="H52" s="391" cm="1">
        <f t="array" aca="1" ref="H52" ca="1">INDIRECT("'Worksheet'!$P"&amp;$B43)</f>
        <v>74</v>
      </c>
      <c r="I52" s="447"/>
      <c r="L52" s="164" t="s">
        <v>13</v>
      </c>
      <c r="M52" s="21" t="str">
        <f t="shared" ca="1" si="3"/>
        <v>5th Avenue 72</v>
      </c>
      <c r="N52" s="22"/>
      <c r="O52" s="23"/>
      <c r="P52" s="22"/>
      <c r="Q52" s="392">
        <f ca="1">H52</f>
        <v>74</v>
      </c>
      <c r="R52" s="447"/>
    </row>
    <row r="53" spans="1:18" ht="23.25">
      <c r="C53" s="348" cm="1">
        <f t="array" aca="1" ref="C53" ca="1">INDIRECT("'Worksheet'!$J"&amp;$B43)</f>
        <v>0</v>
      </c>
      <c r="D53" s="444" t="str" cm="1">
        <f t="array" aca="1" ref="D53" ca="1">IF(INDIRECT("'Worksheet'!$D"&amp;$B43)=1, "Left of Pair", IF(INDIRECT("'Worksheet'!$E"&amp;$B43)=1, "Panel"))</f>
        <v>Left of Pair</v>
      </c>
      <c r="E53" s="444"/>
      <c r="F53" s="444"/>
      <c r="G53" s="374"/>
      <c r="H53" s="374" t="str" cm="1">
        <f t="array" aca="1" ref="H53" ca="1">IF(INDIRECT("'Worksheet'!$F"&amp;$B43)="st","SOR T&amp;B"," ")</f>
        <v xml:space="preserve"> </v>
      </c>
      <c r="I53" s="415">
        <f>IF(Worksheet!$D$46&gt;0,Worksheet!$D$46," ")</f>
        <v>30</v>
      </c>
      <c r="L53" s="41">
        <f ca="1">$C53</f>
        <v>0</v>
      </c>
      <c r="M53" s="444" t="str" cm="1">
        <f t="array" aca="1" ref="M53" ca="1">IF(INDIRECT("'Worksheet'!$D"&amp;$B43)=1, "Right of Pair", IF(INDIRECT("'Worksheet'!$E"&amp;$B43)=1, "Do Not Use"))</f>
        <v>Right of Pair</v>
      </c>
      <c r="N53" s="444"/>
      <c r="O53" s="444"/>
      <c r="P53" s="374"/>
      <c r="Q53" s="374"/>
      <c r="R53" s="415">
        <f>IF(Worksheet!$D$46&gt;0,Worksheet!$D$46," ")</f>
        <v>30</v>
      </c>
    </row>
    <row r="55" spans="1:18" ht="19.5">
      <c r="A55" t="s">
        <v>28</v>
      </c>
      <c r="B55">
        <v>15</v>
      </c>
      <c r="C55" s="164" t="s">
        <v>113</v>
      </c>
      <c r="D55" s="21" t="str">
        <f>+Worksheet!$W$4</f>
        <v>Windcrest WO#J5121027-00234.01</v>
      </c>
      <c r="E55" s="22"/>
      <c r="F55" s="23"/>
      <c r="G55" s="22"/>
      <c r="H55" s="24"/>
      <c r="I55" s="25">
        <f>+Worksheet!$AR$1</f>
        <v>0</v>
      </c>
      <c r="J55" s="26"/>
      <c r="L55" s="164" t="s">
        <v>113</v>
      </c>
      <c r="M55" s="21" t="str">
        <f>+Worksheet!$W$4</f>
        <v>Windcrest WO#J5121027-00234.01</v>
      </c>
      <c r="N55" s="22"/>
      <c r="O55" s="23"/>
      <c r="P55" s="22"/>
      <c r="Q55" s="24"/>
      <c r="R55" s="25">
        <f>+Worksheet!$AR$1</f>
        <v>0</v>
      </c>
    </row>
    <row r="56" spans="1:18" ht="32.25">
      <c r="C56" s="165" t="s">
        <v>128</v>
      </c>
      <c r="D56" s="150" cm="1">
        <f t="array" aca="1" ref="D56" ca="1">INDIRECT("'Worksheet'!$K"&amp;$B55)</f>
        <v>60</v>
      </c>
      <c r="E56" s="151" t="s">
        <v>115</v>
      </c>
      <c r="F56" s="150" cm="1">
        <f t="array" aca="1" ref="F56" ca="1">INDIRECT("'Worksheet'!$M"&amp;$B55)</f>
        <v>13</v>
      </c>
      <c r="G56" s="151" t="s">
        <v>122</v>
      </c>
      <c r="H56" s="150" cm="1">
        <f t="array" aca="1" ref="H56" ca="1">INDIRECT("'Worksheet'!$O"&amp;$B55)</f>
        <v>84</v>
      </c>
      <c r="I56" s="29" t="str">
        <f>+IF(Worksheet!$R$34=1,"Install",IF(Worksheet!$R$34=2,"Ship",IF(Worksheet!$R$34=3,"Deliver",IF(Worksheet!$R$34=4,"Will Call"))))</f>
        <v>Install</v>
      </c>
      <c r="J56" s="30"/>
      <c r="L56" s="165" t="s">
        <v>128</v>
      </c>
      <c r="M56" s="150">
        <f t="shared" ref="M56:M64" ca="1" si="4">D56</f>
        <v>60</v>
      </c>
      <c r="N56" s="151" t="s">
        <v>115</v>
      </c>
      <c r="O56" s="152">
        <f ca="1">F56</f>
        <v>13</v>
      </c>
      <c r="P56" s="151" t="s">
        <v>122</v>
      </c>
      <c r="Q56" s="153">
        <f ca="1">H56</f>
        <v>84</v>
      </c>
      <c r="R56" s="29" t="str">
        <f>+IF(Worksheet!$R$34=1,"Install",IF(Worksheet!$R$34=2,"Ship",IF(Worksheet!$R$34=3,"Deliver",IF(Worksheet!$R$34=4,"Will Call"))))</f>
        <v>Install</v>
      </c>
    </row>
    <row r="57" spans="1:18" ht="12.75" customHeight="1">
      <c r="C57" s="164" t="s">
        <v>121</v>
      </c>
      <c r="D57" s="19">
        <f ca="1">+IF($D65="Left of Pair",((D56+F56)*Worksheet!$AE$7)/2,IF($D65="Panel",(D56+F56)*Worksheet!$AE$7,IF($H65="SOR",D56*2.5+6,IF($H65="SOR T&amp;B",D56*2.5+6))))</f>
        <v>91.25</v>
      </c>
      <c r="E57" s="19" t="s">
        <v>122</v>
      </c>
      <c r="F57" s="369">
        <f ca="1">H56+15</f>
        <v>99</v>
      </c>
      <c r="G57" s="448" cm="1">
        <f t="array" aca="1" ref="G57" ca="1">INDIRECT("'Worksheet'!$Y"&amp;$B55)</f>
        <v>0</v>
      </c>
      <c r="H57" s="448"/>
      <c r="I57" s="449"/>
      <c r="L57" s="164" t="s">
        <v>121</v>
      </c>
      <c r="M57">
        <f t="shared" ca="1" si="4"/>
        <v>91.25</v>
      </c>
      <c r="N57" s="19" t="s">
        <v>122</v>
      </c>
      <c r="O57" s="369">
        <f ca="1">F57</f>
        <v>99</v>
      </c>
      <c r="P57" s="450">
        <f ca="1">G57</f>
        <v>0</v>
      </c>
      <c r="Q57" s="450"/>
      <c r="R57" s="451"/>
    </row>
    <row r="58" spans="1:18" ht="19.5" customHeight="1">
      <c r="C58" s="166"/>
      <c r="D58" s="161" cm="1">
        <f t="array" aca="1" ref="D58" ca="1">IF($D65="Left of Pair",INDIRECT("'Worksheet'!$Q"&amp;$B55)/2,IF($D65="Panel",INDIRECT("'Worksheet'!$Q"&amp;$B55)))</f>
        <v>1.25</v>
      </c>
      <c r="E58" s="42" t="s">
        <v>41</v>
      </c>
      <c r="F58" s="370"/>
      <c r="G58" s="448"/>
      <c r="H58" s="448"/>
      <c r="I58" s="449"/>
      <c r="L58" s="166"/>
      <c r="M58" s="161">
        <f t="shared" ca="1" si="4"/>
        <v>1.25</v>
      </c>
      <c r="N58" s="42" t="s">
        <v>41</v>
      </c>
      <c r="O58" s="370"/>
      <c r="P58" s="450"/>
      <c r="Q58" s="452"/>
      <c r="R58" s="453"/>
    </row>
    <row r="59" spans="1:18" ht="15.75">
      <c r="C59" s="164" t="s">
        <v>135</v>
      </c>
      <c r="D59" s="19">
        <f ca="1">+IF(D63="yes",IF($D65="Left of Pair",($D60*$H63),IF($D65="Panel",$D60*$H63,IF($H65="SOR",$D60*$H63," ")))," ")</f>
        <v>89.899999999999991</v>
      </c>
      <c r="E59" s="19" t="s">
        <v>122</v>
      </c>
      <c r="F59" s="369">
        <f ca="1">IF(D63="YES",H56+12," ")</f>
        <v>96</v>
      </c>
      <c r="H59" s="343" t="s">
        <v>10</v>
      </c>
      <c r="I59" s="371" cm="1">
        <f t="array" aca="1" ref="I59" ca="1">INDIRECT("'Worksheet'!$Q"&amp;B55)</f>
        <v>2.5</v>
      </c>
      <c r="L59" s="164" t="s">
        <v>135</v>
      </c>
      <c r="M59">
        <f t="shared" ca="1" si="4"/>
        <v>89.899999999999991</v>
      </c>
      <c r="N59" s="19" t="s">
        <v>122</v>
      </c>
      <c r="O59" s="369">
        <f ca="1">F59</f>
        <v>96</v>
      </c>
      <c r="P59" s="19"/>
      <c r="Q59" s="343" t="s">
        <v>10</v>
      </c>
      <c r="R59" s="160">
        <f ca="1">I59</f>
        <v>2.5</v>
      </c>
    </row>
    <row r="60" spans="1:18">
      <c r="C60" s="167"/>
      <c r="D60" s="161" cm="1">
        <f t="array" aca="1" ref="D60" ca="1">IF(D63="yes",IF($D65="Left of Pair",INDIRECT("'Worksheet'!$S"&amp;$B55)/2,IF($D65="Panel",INDIRECT("'Worksheet'!$S"&amp;$B55)))," ")</f>
        <v>1.45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36.5</v>
      </c>
      <c r="L60" s="167"/>
      <c r="M60" s="344">
        <f t="shared" ca="1" si="4"/>
        <v>1.45</v>
      </c>
      <c r="N60" s="345" t="s">
        <v>41</v>
      </c>
      <c r="O60" s="372"/>
      <c r="P60" s="20"/>
      <c r="Q60" s="343" t="s">
        <v>116</v>
      </c>
      <c r="R60" s="32">
        <f ca="1">I60</f>
        <v>36.5</v>
      </c>
    </row>
    <row r="61" spans="1:18" ht="12.75" customHeight="1">
      <c r="C61" s="168" t="s">
        <v>114</v>
      </c>
      <c r="D61" s="373" t="str" cm="1">
        <f t="array" aca="1" ref="D61" ca="1">INDIRECT("'Worksheet'!$B"&amp;$B55)</f>
        <v>Bishop Woodlake</v>
      </c>
      <c r="E61" s="22"/>
      <c r="F61" s="23"/>
      <c r="G61" s="22"/>
      <c r="H61" s="24"/>
      <c r="I61" s="445" t="str" cm="1">
        <f t="array" aca="1" ref="I61" ca="1">INDIRECT("'Worksheet'!$A"&amp;$B55)</f>
        <v>P1-5</v>
      </c>
      <c r="L61" s="168" t="s">
        <v>114</v>
      </c>
      <c r="M61" s="31" t="str">
        <f t="shared" ca="1" si="4"/>
        <v>Bishop Woodlake</v>
      </c>
      <c r="N61" s="20"/>
      <c r="O61" s="33"/>
      <c r="P61" s="27"/>
      <c r="Q61" s="24"/>
      <c r="R61" s="445" t="str">
        <f ca="1">I61</f>
        <v>P1-5</v>
      </c>
    </row>
    <row r="62" spans="1:18" ht="15.75" customHeight="1">
      <c r="C62" s="164" t="s">
        <v>117</v>
      </c>
      <c r="D62" s="346" cm="1">
        <f t="array" aca="1" ref="D62" ca="1">INDIRECT("'Worksheet'!$H"&amp;$B55)</f>
        <v>3.5</v>
      </c>
      <c r="E62" s="20"/>
      <c r="F62" s="169" t="s">
        <v>118</v>
      </c>
      <c r="G62" s="35"/>
      <c r="H62" s="36" t="str">
        <f>+IF(Worksheet!$R$38=TRUE,"Yes",IF(Worksheet!$R$38=FALSE,"No"))</f>
        <v>Yes</v>
      </c>
      <c r="I62" s="446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46"/>
    </row>
    <row r="63" spans="1:18" ht="15.75" customHeight="1">
      <c r="C63" s="164" t="s">
        <v>119</v>
      </c>
      <c r="D63" s="37" t="str">
        <f ca="1">IF($E63&gt;0,"YES"," ")</f>
        <v>YES</v>
      </c>
      <c r="E63" s="347" t="str" cm="1">
        <f t="array" aca="1" ref="E63" ca="1">INDIRECT("'Worksheet'!$X"&amp;$B55)</f>
        <v xml:space="preserve">Flameguard </v>
      </c>
      <c r="F63" s="39"/>
      <c r="G63" s="20"/>
      <c r="H63" s="391" cm="1">
        <f t="array" aca="1" ref="H63" ca="1">INDIRECT("'Worksheet'!$R"&amp;$B55)</f>
        <v>62</v>
      </c>
      <c r="I63" s="446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392">
        <f ca="1">H63</f>
        <v>62</v>
      </c>
      <c r="R63" s="446"/>
    </row>
    <row r="64" spans="1:18" ht="15.75" customHeight="1">
      <c r="C64" s="164" t="s">
        <v>13</v>
      </c>
      <c r="D64" s="347" t="str" cm="1">
        <f t="array" aca="1" ref="D64" ca="1">INDIRECT("'Worksheet'!$W"&amp;$B55)</f>
        <v>5th Avenue 72</v>
      </c>
      <c r="E64" s="22"/>
      <c r="F64" s="23"/>
      <c r="G64" s="22"/>
      <c r="H64" s="391" cm="1">
        <f t="array" aca="1" ref="H64" ca="1">INDIRECT("'Worksheet'!$P"&amp;$B55)</f>
        <v>74</v>
      </c>
      <c r="I64" s="447"/>
      <c r="L64" s="164" t="s">
        <v>13</v>
      </c>
      <c r="M64" s="21" t="str">
        <f t="shared" ca="1" si="4"/>
        <v>5th Avenue 72</v>
      </c>
      <c r="N64" s="22"/>
      <c r="O64" s="23"/>
      <c r="P64" s="22"/>
      <c r="Q64" s="392">
        <f ca="1">H64</f>
        <v>74</v>
      </c>
      <c r="R64" s="447"/>
    </row>
    <row r="65" spans="1:18" ht="23.25">
      <c r="C65" s="348" cm="1">
        <f t="array" aca="1" ref="C65" ca="1">INDIRECT("'Worksheet'!$J"&amp;$B55)</f>
        <v>0</v>
      </c>
      <c r="D65" s="444" t="str" cm="1">
        <f t="array" aca="1" ref="D65" ca="1">IF(INDIRECT("'Worksheet'!$D"&amp;$B55)=1, "Left of Pair", IF(INDIRECT("'Worksheet'!$E"&amp;$B55)=1, "Panel"))</f>
        <v>Left of Pair</v>
      </c>
      <c r="E65" s="444"/>
      <c r="F65" s="444"/>
      <c r="G65" s="374"/>
      <c r="H65" s="374" t="str" cm="1">
        <f t="array" aca="1" ref="H65" ca="1">IF(INDIRECT("'Worksheet'!$F"&amp;$B55)="st","SOR T&amp;B"," ")</f>
        <v xml:space="preserve"> </v>
      </c>
      <c r="I65" s="415">
        <f>IF(Worksheet!$D$46&gt;0,Worksheet!$D$46," ")</f>
        <v>30</v>
      </c>
      <c r="L65" s="41">
        <f ca="1">$C65</f>
        <v>0</v>
      </c>
      <c r="M65" s="444" t="str" cm="1">
        <f t="array" aca="1" ref="M65" ca="1">IF(INDIRECT("'Worksheet'!$D"&amp;$B55)=1, "Right of Pair", IF(INDIRECT("'Worksheet'!$E"&amp;$B55)=1, "Do Not Use"))</f>
        <v>Right of Pair</v>
      </c>
      <c r="N65" s="444"/>
      <c r="O65" s="444"/>
      <c r="P65" s="374"/>
      <c r="Q65" s="374"/>
      <c r="R65" s="415">
        <f>IF(Worksheet!$D$46&gt;0,Worksheet!$D$46," ")</f>
        <v>30</v>
      </c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+Worksheet!$W$4</f>
        <v>Windcrest WO#J5121027-00234.01</v>
      </c>
      <c r="E69" s="22"/>
      <c r="F69" s="23"/>
      <c r="G69" s="22"/>
      <c r="H69" s="24"/>
      <c r="I69" s="25">
        <f>+Worksheet!$AR$1</f>
        <v>0</v>
      </c>
      <c r="J69" s="26"/>
      <c r="L69" s="164" t="s">
        <v>113</v>
      </c>
      <c r="M69" s="21" t="str">
        <f>+Worksheet!$W$4</f>
        <v>Windcrest WO#J5121027-00234.01</v>
      </c>
      <c r="N69" s="22"/>
      <c r="O69" s="23"/>
      <c r="P69" s="22"/>
      <c r="Q69" s="24"/>
      <c r="R69" s="25">
        <f>+Worksheet!$AR$1</f>
        <v>0</v>
      </c>
    </row>
    <row r="70" spans="1:18" ht="32.25">
      <c r="C70" s="165" t="s">
        <v>128</v>
      </c>
      <c r="D70" s="150" cm="1">
        <f t="array" aca="1" ref="D70" ca="1">INDIRECT("'Worksheet'!$K"&amp;$B69)</f>
        <v>54</v>
      </c>
      <c r="E70" s="151" t="s">
        <v>115</v>
      </c>
      <c r="F70" s="150" cm="1">
        <f t="array" aca="1" ref="F70" ca="1">INDIRECT("'Worksheet'!$M"&amp;$B69)</f>
        <v>13</v>
      </c>
      <c r="G70" s="151" t="s">
        <v>122</v>
      </c>
      <c r="H70" s="150" cm="1">
        <f t="array" aca="1" ref="H70" ca="1">INDIRECT("'Worksheet'!$O"&amp;$B69)</f>
        <v>84</v>
      </c>
      <c r="I70" s="29" t="str">
        <f>+IF(Worksheet!$R$34=1,"Install",IF(Worksheet!$R$34=2,"Ship",IF(Worksheet!$R$34=3,"Deliver",IF(Worksheet!$R$34=4,"Will Call"))))</f>
        <v>Install</v>
      </c>
      <c r="J70" s="30"/>
      <c r="L70" s="165" t="s">
        <v>128</v>
      </c>
      <c r="M70" s="150">
        <f t="shared" ref="M70:M78" ca="1" si="5">D70</f>
        <v>54</v>
      </c>
      <c r="N70" s="151" t="s">
        <v>115</v>
      </c>
      <c r="O70" s="152">
        <f ca="1">F70</f>
        <v>13</v>
      </c>
      <c r="P70" s="151" t="s">
        <v>122</v>
      </c>
      <c r="Q70" s="153">
        <f ca="1">H70</f>
        <v>84</v>
      </c>
      <c r="R70" s="29" t="str">
        <f>+IF(Worksheet!$R$34=1,"Install",IF(Worksheet!$R$34=2,"Ship",IF(Worksheet!$R$34=3,"Deliver",IF(Worksheet!$R$34=4,"Will Call"))))</f>
        <v>Install</v>
      </c>
    </row>
    <row r="71" spans="1:18" ht="12.75" customHeight="1">
      <c r="C71" s="164" t="s">
        <v>121</v>
      </c>
      <c r="D71" s="19">
        <f ca="1">+IF($D79="Left of Pair",((D70+F70)*Worksheet!$AE$7)/2,IF($D79="Panel",(D70+F70)*Worksheet!$AE$7,IF($H79="SOR",D70*2.5+6,IF($H79="SOR T&amp;B",D70*2.5+6))))</f>
        <v>83.75</v>
      </c>
      <c r="E71" s="19" t="s">
        <v>122</v>
      </c>
      <c r="F71" s="369">
        <f ca="1">H70+15</f>
        <v>99</v>
      </c>
      <c r="G71" s="448" cm="1">
        <f t="array" aca="1" ref="G71" ca="1">INDIRECT("'Worksheet'!$Y"&amp;$B69)</f>
        <v>0</v>
      </c>
      <c r="H71" s="448"/>
      <c r="I71" s="449"/>
      <c r="L71" s="164" t="s">
        <v>121</v>
      </c>
      <c r="M71">
        <f t="shared" ca="1" si="5"/>
        <v>83.75</v>
      </c>
      <c r="N71" s="19" t="s">
        <v>122</v>
      </c>
      <c r="O71" s="369">
        <f ca="1">F71</f>
        <v>99</v>
      </c>
      <c r="P71" s="450">
        <f ca="1">G71</f>
        <v>0</v>
      </c>
      <c r="Q71" s="450"/>
      <c r="R71" s="451"/>
    </row>
    <row r="72" spans="1:18" ht="19.5" customHeight="1">
      <c r="C72" s="166"/>
      <c r="D72" s="161" cm="1">
        <f t="array" aca="1" ref="D72" ca="1">IF($D79="Left of Pair",INDIRECT("'Worksheet'!$Q"&amp;$B69)/2,IF($D79="Panel",INDIRECT("'Worksheet'!$Q"&amp;$B69)))</f>
        <v>1.1499999999999999</v>
      </c>
      <c r="E72" s="42" t="s">
        <v>41</v>
      </c>
      <c r="F72" s="370"/>
      <c r="G72" s="448"/>
      <c r="H72" s="448"/>
      <c r="I72" s="449"/>
      <c r="L72" s="166"/>
      <c r="M72" s="161">
        <f t="shared" ca="1" si="5"/>
        <v>1.1499999999999999</v>
      </c>
      <c r="N72" s="42" t="s">
        <v>41</v>
      </c>
      <c r="O72" s="370"/>
      <c r="P72" s="450"/>
      <c r="Q72" s="452"/>
      <c r="R72" s="453"/>
    </row>
    <row r="73" spans="1:18" ht="15.75">
      <c r="C73" s="164" t="s">
        <v>135</v>
      </c>
      <c r="D73" s="19">
        <f ca="1">+IF(D77="yes",IF($D79="Left of Pair",($D74*$H77),IF($D79="Panel",$D74*$H77,IF($H79="SOR",$D74*$H77," ")))," ")</f>
        <v>83.7</v>
      </c>
      <c r="E73" s="19" t="s">
        <v>122</v>
      </c>
      <c r="F73" s="369">
        <f ca="1">IF(D77="YES",H70+12," ")</f>
        <v>96</v>
      </c>
      <c r="H73" s="343" t="s">
        <v>10</v>
      </c>
      <c r="I73" s="371" cm="1">
        <f t="array" aca="1" ref="I73" ca="1">INDIRECT("'Worksheet'!$Q"&amp;B69)</f>
        <v>2.2999999999999998</v>
      </c>
      <c r="L73" s="164" t="s">
        <v>135</v>
      </c>
      <c r="M73">
        <f t="shared" ca="1" si="5"/>
        <v>83.7</v>
      </c>
      <c r="N73" s="19" t="s">
        <v>122</v>
      </c>
      <c r="O73" s="369">
        <f ca="1">F73</f>
        <v>96</v>
      </c>
      <c r="P73" s="19"/>
      <c r="Q73" s="343" t="s">
        <v>10</v>
      </c>
      <c r="R73" s="160">
        <f ca="1">I73</f>
        <v>2.2999999999999998</v>
      </c>
    </row>
    <row r="74" spans="1:18">
      <c r="C74" s="167"/>
      <c r="D74" s="161" cm="1">
        <f t="array" aca="1" ref="D74" ca="1">IF(D77="yes",IF($D79="Left of Pair",INDIRECT("'Worksheet'!$S"&amp;$B69)/2,IF($D79="Panel",INDIRECT("'Worksheet'!$S"&amp;$B69)))," ")</f>
        <v>1.35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33.5</v>
      </c>
      <c r="L74" s="167"/>
      <c r="M74" s="344">
        <f t="shared" ca="1" si="5"/>
        <v>1.35</v>
      </c>
      <c r="N74" s="345" t="s">
        <v>41</v>
      </c>
      <c r="O74" s="372"/>
      <c r="P74" s="20"/>
      <c r="Q74" s="343" t="s">
        <v>116</v>
      </c>
      <c r="R74" s="32">
        <f ca="1">I74</f>
        <v>33.5</v>
      </c>
    </row>
    <row r="75" spans="1:18" ht="12.75" customHeight="1">
      <c r="C75" s="168" t="s">
        <v>114</v>
      </c>
      <c r="D75" s="373" t="str" cm="1">
        <f t="array" aca="1" ref="D75" ca="1">INDIRECT("'Worksheet'!$B"&amp;$B69)</f>
        <v>Clerk</v>
      </c>
      <c r="E75" s="22"/>
      <c r="F75" s="23"/>
      <c r="G75" s="22"/>
      <c r="H75" s="24"/>
      <c r="I75" s="445" t="str" cm="1">
        <f t="array" aca="1" ref="I75" ca="1">INDIRECT("'Worksheet'!$A"&amp;$B69)</f>
        <v>P1-6</v>
      </c>
      <c r="L75" s="168" t="s">
        <v>114</v>
      </c>
      <c r="M75" s="31" t="str">
        <f t="shared" ca="1" si="5"/>
        <v>Clerk</v>
      </c>
      <c r="N75" s="20"/>
      <c r="O75" s="33"/>
      <c r="P75" s="27"/>
      <c r="Q75" s="24"/>
      <c r="R75" s="445" t="str">
        <f ca="1">I75</f>
        <v>P1-6</v>
      </c>
    </row>
    <row r="76" spans="1:18" ht="15.75" customHeight="1">
      <c r="C76" s="164" t="s">
        <v>117</v>
      </c>
      <c r="D76" s="346" cm="1">
        <f t="array" aca="1" ref="D76" ca="1">INDIRECT("'Worksheet'!$H"&amp;$B69)</f>
        <v>3.5</v>
      </c>
      <c r="E76" s="20"/>
      <c r="F76" s="169" t="s">
        <v>118</v>
      </c>
      <c r="G76" s="35"/>
      <c r="H76" s="36" t="str">
        <f>+IF(Worksheet!$R$38=TRUE,"Yes",IF(Worksheet!$R$38=FALSE,"No"))</f>
        <v>Yes</v>
      </c>
      <c r="I76" s="446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46"/>
    </row>
    <row r="77" spans="1:18" ht="15.75" customHeight="1">
      <c r="C77" s="164" t="s">
        <v>119</v>
      </c>
      <c r="D77" s="37" t="str">
        <f ca="1">IF($E77&gt;0,"YES"," ")</f>
        <v>YES</v>
      </c>
      <c r="E77" s="347" t="str" cm="1">
        <f t="array" aca="1" ref="E77" ca="1">INDIRECT("'Worksheet'!$X"&amp;$B69)</f>
        <v xml:space="preserve">Flameguard </v>
      </c>
      <c r="F77" s="39"/>
      <c r="G77" s="20"/>
      <c r="H77" s="391" cm="1">
        <f t="array" aca="1" ref="H77" ca="1">INDIRECT("'Worksheet'!$R"&amp;$B69)</f>
        <v>62</v>
      </c>
      <c r="I77" s="446"/>
      <c r="J77" s="40"/>
      <c r="L77" s="164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392">
        <f ca="1">H77</f>
        <v>62</v>
      </c>
      <c r="R77" s="446"/>
    </row>
    <row r="78" spans="1:18" ht="15.75" customHeight="1">
      <c r="C78" s="164" t="s">
        <v>13</v>
      </c>
      <c r="D78" s="347" t="str" cm="1">
        <f t="array" aca="1" ref="D78" ca="1">INDIRECT("'Worksheet'!$W"&amp;$B69)</f>
        <v>5th Avenue 72</v>
      </c>
      <c r="E78" s="22"/>
      <c r="F78" s="23"/>
      <c r="G78" s="22"/>
      <c r="H78" s="391" cm="1">
        <f t="array" aca="1" ref="H78" ca="1">INDIRECT("'Worksheet'!$P"&amp;$B69)</f>
        <v>74</v>
      </c>
      <c r="I78" s="447"/>
      <c r="L78" s="164" t="s">
        <v>13</v>
      </c>
      <c r="M78" s="21" t="str">
        <f t="shared" ca="1" si="5"/>
        <v>5th Avenue 72</v>
      </c>
      <c r="N78" s="22"/>
      <c r="O78" s="23"/>
      <c r="P78" s="22"/>
      <c r="Q78" s="392">
        <f ca="1">H78</f>
        <v>74</v>
      </c>
      <c r="R78" s="447"/>
    </row>
    <row r="79" spans="1:18" ht="23.25">
      <c r="C79" s="348" cm="1">
        <f t="array" aca="1" ref="C79" ca="1">INDIRECT("'Worksheet'!$J"&amp;$B69)</f>
        <v>0</v>
      </c>
      <c r="D79" s="444" t="str" cm="1">
        <f t="array" aca="1" ref="D79" ca="1">IF(INDIRECT("'Worksheet'!$D"&amp;$B69)=1, "Left of Pair", IF(INDIRECT("'Worksheet'!$E"&amp;$B69)=1, "Panel"))</f>
        <v>Left of Pair</v>
      </c>
      <c r="E79" s="444"/>
      <c r="F79" s="444"/>
      <c r="G79" s="374"/>
      <c r="H79" s="374" t="str" cm="1">
        <f t="array" aca="1" ref="H79" ca="1">IF(INDIRECT("'Worksheet'!$F"&amp;$B69)="st","SOR T&amp;B"," ")</f>
        <v xml:space="preserve"> </v>
      </c>
      <c r="I79" s="415">
        <f>IF(Worksheet!$D$46&gt;0,Worksheet!$D$46," ")</f>
        <v>30</v>
      </c>
      <c r="L79" s="41">
        <f ca="1">$C79</f>
        <v>0</v>
      </c>
      <c r="M79" s="444" t="str" cm="1">
        <f t="array" aca="1" ref="M79" ca="1">IF(INDIRECT("'Worksheet'!$D"&amp;$B69)=1, "Right of Pair", IF(INDIRECT("'Worksheet'!$E"&amp;$B69)=1, "Do Not Use"))</f>
        <v>Right of Pair</v>
      </c>
      <c r="N79" s="444"/>
      <c r="O79" s="444"/>
      <c r="P79" s="374"/>
      <c r="Q79" s="374"/>
      <c r="R79" s="415">
        <f>IF(Worksheet!$D$46&gt;0,Worksheet!$D$46," ")</f>
        <v>30</v>
      </c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+Worksheet!$W$4</f>
        <v>Windcrest WO#J5121027-00234.01</v>
      </c>
      <c r="E83" s="22"/>
      <c r="F83" s="23"/>
      <c r="G83" s="22"/>
      <c r="H83" s="24"/>
      <c r="I83" s="25">
        <f>+Worksheet!$AR$1</f>
        <v>0</v>
      </c>
      <c r="J83" s="26"/>
      <c r="L83" s="164" t="s">
        <v>113</v>
      </c>
      <c r="M83" s="21" t="str">
        <f>+Worksheet!$W$4</f>
        <v>Windcrest WO#J5121027-00234.01</v>
      </c>
      <c r="N83" s="22"/>
      <c r="O83" s="23"/>
      <c r="P83" s="22"/>
      <c r="Q83" s="24"/>
      <c r="R83" s="25">
        <f>+Worksheet!$AR$1</f>
        <v>0</v>
      </c>
    </row>
    <row r="84" spans="1:18" ht="32.25">
      <c r="C84" s="165" t="s">
        <v>128</v>
      </c>
      <c r="D84" s="150" cm="1">
        <f t="array" aca="1" ref="D84" ca="1">INDIRECT("'Worksheet'!$K"&amp;$B83)</f>
        <v>60</v>
      </c>
      <c r="E84" s="151" t="s">
        <v>115</v>
      </c>
      <c r="F84" s="150" cm="1">
        <f t="array" aca="1" ref="F84" ca="1">INDIRECT("'Worksheet'!$M"&amp;$B83)</f>
        <v>13</v>
      </c>
      <c r="G84" s="151" t="s">
        <v>122</v>
      </c>
      <c r="H84" s="150" cm="1">
        <f t="array" aca="1" ref="H84" ca="1">INDIRECT("'Worksheet'!$O"&amp;$B83)</f>
        <v>82</v>
      </c>
      <c r="I84" s="29" t="str">
        <f>+IF(Worksheet!$R$34=1,"Install",IF(Worksheet!$R$34=2,"Ship",IF(Worksheet!$R$34=3,"Deliver",IF(Worksheet!$R$34=4,"Will Call"))))</f>
        <v>Install</v>
      </c>
      <c r="J84" s="30"/>
      <c r="L84" s="165" t="s">
        <v>128</v>
      </c>
      <c r="M84" s="150">
        <f t="shared" ref="M84:M92" ca="1" si="6">D84</f>
        <v>60</v>
      </c>
      <c r="N84" s="151" t="s">
        <v>115</v>
      </c>
      <c r="O84" s="152">
        <f ca="1">F84</f>
        <v>13</v>
      </c>
      <c r="P84" s="151" t="s">
        <v>122</v>
      </c>
      <c r="Q84" s="153">
        <f ca="1">H84</f>
        <v>82</v>
      </c>
      <c r="R84" s="29" t="str">
        <f>+IF(Worksheet!$R$34=1,"Install",IF(Worksheet!$R$34=2,"Ship",IF(Worksheet!$R$34=3,"Deliver",IF(Worksheet!$R$34=4,"Will Call"))))</f>
        <v>Install</v>
      </c>
    </row>
    <row r="85" spans="1:18" ht="12.75" customHeight="1">
      <c r="C85" s="164" t="s">
        <v>121</v>
      </c>
      <c r="D85" s="19">
        <f ca="1">+IF($D93="Left of Pair",((D84+F84)*Worksheet!$AE$7)/2,IF($D93="Panel",(D84+F84)*Worksheet!$AE$7,IF($H93="SOR",D84*2.5+6,IF($H93="SOR T&amp;B",D84*2.5+6))))</f>
        <v>91.25</v>
      </c>
      <c r="E85" s="19" t="s">
        <v>122</v>
      </c>
      <c r="F85" s="369">
        <f ca="1">H84+15</f>
        <v>97</v>
      </c>
      <c r="G85" s="448" cm="1">
        <f t="array" aca="1" ref="G85" ca="1">INDIRECT("'Worksheet'!$Y"&amp;$B83)</f>
        <v>0</v>
      </c>
      <c r="H85" s="448"/>
      <c r="I85" s="449"/>
      <c r="L85" s="164" t="s">
        <v>121</v>
      </c>
      <c r="M85">
        <f t="shared" ca="1" si="6"/>
        <v>91.25</v>
      </c>
      <c r="N85" s="19" t="s">
        <v>122</v>
      </c>
      <c r="O85" s="369">
        <f ca="1">F85</f>
        <v>97</v>
      </c>
      <c r="P85" s="450">
        <f ca="1">G85</f>
        <v>0</v>
      </c>
      <c r="Q85" s="450"/>
      <c r="R85" s="451"/>
    </row>
    <row r="86" spans="1:18" ht="19.5" customHeight="1">
      <c r="C86" s="166"/>
      <c r="D86" s="161" cm="1">
        <f t="array" aca="1" ref="D86" ca="1">IF($D93="Left of Pair",INDIRECT("'Worksheet'!$Q"&amp;$B83)/2,IF($D93="Panel",INDIRECT("'Worksheet'!$Q"&amp;$B83)))</f>
        <v>1.25</v>
      </c>
      <c r="E86" s="42" t="s">
        <v>41</v>
      </c>
      <c r="F86" s="370"/>
      <c r="G86" s="448"/>
      <c r="H86" s="448"/>
      <c r="I86" s="449"/>
      <c r="L86" s="166"/>
      <c r="M86" s="161">
        <f t="shared" ca="1" si="6"/>
        <v>1.25</v>
      </c>
      <c r="N86" s="42" t="s">
        <v>41</v>
      </c>
      <c r="O86" s="370"/>
      <c r="P86" s="450"/>
      <c r="Q86" s="452"/>
      <c r="R86" s="453"/>
    </row>
    <row r="87" spans="1:18" ht="15.75">
      <c r="C87" s="164" t="s">
        <v>135</v>
      </c>
      <c r="D87" s="19">
        <f ca="1">+IF(D91="yes",IF($D93="Left of Pair",($D88*$H91),IF($D93="Panel",$D88*$H91,IF($H93="SOR",$D88*$H91," ")))," ")</f>
        <v>89.899999999999991</v>
      </c>
      <c r="E87" s="19" t="s">
        <v>122</v>
      </c>
      <c r="F87" s="369">
        <f ca="1">IF(D91="YES",H84+12," ")</f>
        <v>94</v>
      </c>
      <c r="H87" s="343" t="s">
        <v>10</v>
      </c>
      <c r="I87" s="371" cm="1">
        <f t="array" aca="1" ref="I87" ca="1">INDIRECT("'Worksheet'!$Q"&amp;B83)</f>
        <v>2.5</v>
      </c>
      <c r="L87" s="164" t="s">
        <v>135</v>
      </c>
      <c r="M87">
        <f t="shared" ca="1" si="6"/>
        <v>89.899999999999991</v>
      </c>
      <c r="N87" s="19" t="s">
        <v>122</v>
      </c>
      <c r="O87" s="369">
        <f ca="1">F87</f>
        <v>94</v>
      </c>
      <c r="P87" s="19"/>
      <c r="Q87" s="343" t="s">
        <v>10</v>
      </c>
      <c r="R87" s="160">
        <f ca="1">I87</f>
        <v>2.5</v>
      </c>
    </row>
    <row r="88" spans="1:18">
      <c r="C88" s="167"/>
      <c r="D88" s="161" cm="1">
        <f t="array" aca="1" ref="D88" ca="1">IF(D91="yes",IF($D93="Left of Pair",INDIRECT("'Worksheet'!$S"&amp;$B83)/2,IF($D93="Panel",INDIRECT("'Worksheet'!$S"&amp;$B83)))," ")</f>
        <v>1.45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36.5</v>
      </c>
      <c r="L88" s="167"/>
      <c r="M88" s="344">
        <f t="shared" ca="1" si="6"/>
        <v>1.45</v>
      </c>
      <c r="N88" s="345" t="s">
        <v>41</v>
      </c>
      <c r="O88" s="372"/>
      <c r="P88" s="20"/>
      <c r="Q88" s="343" t="s">
        <v>116</v>
      </c>
      <c r="R88" s="32">
        <f ca="1">I88</f>
        <v>36.5</v>
      </c>
    </row>
    <row r="89" spans="1:18" ht="12.75" customHeight="1">
      <c r="C89" s="168" t="s">
        <v>114</v>
      </c>
      <c r="D89" s="373" t="str" cm="1">
        <f t="array" aca="1" ref="D89" ca="1">INDIRECT("'Worksheet'!$B"&amp;$B83)</f>
        <v>Stake President</v>
      </c>
      <c r="E89" s="22"/>
      <c r="F89" s="23"/>
      <c r="G89" s="22"/>
      <c r="H89" s="24"/>
      <c r="I89" s="445" t="str" cm="1">
        <f t="array" aca="1" ref="I89" ca="1">INDIRECT("'Worksheet'!$A"&amp;$B83)</f>
        <v>P1-7</v>
      </c>
      <c r="L89" s="168" t="s">
        <v>114</v>
      </c>
      <c r="M89" s="31" t="str">
        <f t="shared" ca="1" si="6"/>
        <v>Stake President</v>
      </c>
      <c r="N89" s="20"/>
      <c r="O89" s="33"/>
      <c r="P89" s="27"/>
      <c r="Q89" s="24"/>
      <c r="R89" s="445" t="str">
        <f ca="1">I89</f>
        <v>P1-7</v>
      </c>
    </row>
    <row r="90" spans="1:18" ht="15.75" customHeight="1">
      <c r="C90" s="164" t="s">
        <v>117</v>
      </c>
      <c r="D90" s="346" cm="1">
        <f t="array" aca="1" ref="D90" ca="1">INDIRECT("'Worksheet'!$H"&amp;$B83)</f>
        <v>3.5</v>
      </c>
      <c r="E90" s="20"/>
      <c r="F90" s="169" t="s">
        <v>118</v>
      </c>
      <c r="G90" s="35"/>
      <c r="H90" s="36" t="str">
        <f>+IF(Worksheet!$R$38=TRUE,"Yes",IF(Worksheet!$R$38=FALSE,"No"))</f>
        <v>Yes</v>
      </c>
      <c r="I90" s="446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46"/>
    </row>
    <row r="91" spans="1:18" ht="15.75" customHeight="1">
      <c r="C91" s="164" t="s">
        <v>119</v>
      </c>
      <c r="D91" s="37" t="str">
        <f ca="1">IF($E91&gt;0,"YES"," ")</f>
        <v>YES</v>
      </c>
      <c r="E91" s="347" t="str" cm="1">
        <f t="array" aca="1" ref="E91" ca="1">INDIRECT("'Worksheet'!$X"&amp;$B83)</f>
        <v xml:space="preserve">Flameguard </v>
      </c>
      <c r="F91" s="39"/>
      <c r="G91" s="20"/>
      <c r="H91" s="391" cm="1">
        <f t="array" aca="1" ref="H91" ca="1">INDIRECT("'Worksheet'!$R"&amp;$B83)</f>
        <v>62</v>
      </c>
      <c r="I91" s="446"/>
      <c r="J91" s="40"/>
      <c r="L91" s="164" t="s">
        <v>119</v>
      </c>
      <c r="M91" s="37" t="str">
        <f t="shared" ca="1" si="6"/>
        <v>YES</v>
      </c>
      <c r="N91" s="38" t="str">
        <f ca="1">E91</f>
        <v xml:space="preserve">Flameguard </v>
      </c>
      <c r="O91" s="39"/>
      <c r="P91" s="20"/>
      <c r="Q91" s="392">
        <f ca="1">H91</f>
        <v>62</v>
      </c>
      <c r="R91" s="446"/>
    </row>
    <row r="92" spans="1:18" ht="15.75" customHeight="1">
      <c r="C92" s="164" t="s">
        <v>13</v>
      </c>
      <c r="D92" s="347" t="str" cm="1">
        <f t="array" aca="1" ref="D92" ca="1">INDIRECT("'Worksheet'!$W"&amp;$B83)</f>
        <v>5th Avenue 72</v>
      </c>
      <c r="E92" s="22"/>
      <c r="F92" s="23"/>
      <c r="G92" s="22"/>
      <c r="H92" s="391" cm="1">
        <f t="array" aca="1" ref="H92" ca="1">INDIRECT("'Worksheet'!$P"&amp;$B83)</f>
        <v>74</v>
      </c>
      <c r="I92" s="447"/>
      <c r="L92" s="164" t="s">
        <v>13</v>
      </c>
      <c r="M92" s="21" t="str">
        <f t="shared" ca="1" si="6"/>
        <v>5th Avenue 72</v>
      </c>
      <c r="N92" s="22"/>
      <c r="O92" s="23"/>
      <c r="P92" s="22"/>
      <c r="Q92" s="392">
        <f ca="1">H92</f>
        <v>74</v>
      </c>
      <c r="R92" s="447"/>
    </row>
    <row r="93" spans="1:18" ht="23.25">
      <c r="C93" s="348" cm="1">
        <f t="array" aca="1" ref="C93" ca="1">INDIRECT("'Worksheet'!$J"&amp;$B83)</f>
        <v>0</v>
      </c>
      <c r="D93" s="444" t="str" cm="1">
        <f t="array" aca="1" ref="D93" ca="1">IF(INDIRECT("'Worksheet'!$D"&amp;$B83)=1, "Left of Pair", IF(INDIRECT("'Worksheet'!$E"&amp;$B83)=1, "Panel"))</f>
        <v>Left of Pair</v>
      </c>
      <c r="E93" s="444"/>
      <c r="F93" s="444"/>
      <c r="G93" s="374"/>
      <c r="H93" s="374" t="str" cm="1">
        <f t="array" aca="1" ref="H93" ca="1">IF(INDIRECT("'Worksheet'!$F"&amp;$B83)="st","SOR T&amp;B"," ")</f>
        <v xml:space="preserve"> </v>
      </c>
      <c r="I93" s="415">
        <f>IF(Worksheet!$D$46&gt;0,Worksheet!$D$46," ")</f>
        <v>30</v>
      </c>
      <c r="L93" s="41">
        <f ca="1">$C93</f>
        <v>0</v>
      </c>
      <c r="M93" s="444" t="str" cm="1">
        <f t="array" aca="1" ref="M93" ca="1">IF(INDIRECT("'Worksheet'!$D"&amp;$B83)=1, "Right of Pair", IF(INDIRECT("'Worksheet'!$E"&amp;$B83)=1, "Do Not Use"))</f>
        <v>Right of Pair</v>
      </c>
      <c r="N93" s="444"/>
      <c r="O93" s="444"/>
      <c r="P93" s="374"/>
      <c r="Q93" s="374"/>
      <c r="R93" s="415">
        <f>IF(Worksheet!$D$46&gt;0,Worksheet!$D$46," ")</f>
        <v>30</v>
      </c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+Worksheet!$W$4</f>
        <v>Windcrest WO#J5121027-00234.01</v>
      </c>
      <c r="E97" s="22"/>
      <c r="F97" s="23"/>
      <c r="G97" s="22"/>
      <c r="H97" s="24"/>
      <c r="I97" s="25">
        <f>+Worksheet!$AR$1</f>
        <v>0</v>
      </c>
      <c r="J97" s="26"/>
      <c r="L97" s="164" t="s">
        <v>113</v>
      </c>
      <c r="M97" s="21" t="str">
        <f>+Worksheet!$W$4</f>
        <v>Windcrest WO#J5121027-00234.01</v>
      </c>
      <c r="N97" s="22"/>
      <c r="O97" s="23"/>
      <c r="P97" s="22"/>
      <c r="Q97" s="24"/>
      <c r="R97" s="25">
        <f>+Worksheet!$AR$1</f>
        <v>0</v>
      </c>
    </row>
    <row r="98" spans="1:18" ht="32.25">
      <c r="C98" s="165" t="s">
        <v>128</v>
      </c>
      <c r="D98" s="150" cm="1">
        <f t="array" aca="1" ref="D98" ca="1">INDIRECT("'Worksheet'!$K"&amp;$B97)</f>
        <v>60</v>
      </c>
      <c r="E98" s="151" t="s">
        <v>115</v>
      </c>
      <c r="F98" s="150" cm="1">
        <f t="array" aca="1" ref="F98" ca="1">INDIRECT("'Worksheet'!$M"&amp;$B97)</f>
        <v>13</v>
      </c>
      <c r="G98" s="151" t="s">
        <v>122</v>
      </c>
      <c r="H98" s="150" cm="1">
        <f t="array" aca="1" ref="H98" ca="1">INDIRECT("'Worksheet'!$O"&amp;$B97)</f>
        <v>82</v>
      </c>
      <c r="I98" s="29" t="str">
        <f>+IF(Worksheet!$R$34=1,"Install",IF(Worksheet!$R$34=2,"Ship",IF(Worksheet!$R$34=3,"Deliver",IF(Worksheet!$R$34=4,"Will Call"))))</f>
        <v>Install</v>
      </c>
      <c r="J98" s="30"/>
      <c r="L98" s="165" t="s">
        <v>128</v>
      </c>
      <c r="M98" s="150">
        <f t="shared" ref="M98:M106" ca="1" si="7">D98</f>
        <v>60</v>
      </c>
      <c r="N98" s="151" t="s">
        <v>115</v>
      </c>
      <c r="O98" s="152">
        <f ca="1">F98</f>
        <v>13</v>
      </c>
      <c r="P98" s="151" t="s">
        <v>122</v>
      </c>
      <c r="Q98" s="153">
        <f ca="1">H98</f>
        <v>82</v>
      </c>
      <c r="R98" s="29" t="str">
        <f>+IF(Worksheet!$R$34=1,"Install",IF(Worksheet!$R$34=2,"Ship",IF(Worksheet!$R$34=3,"Deliver",IF(Worksheet!$R$34=4,"Will Call"))))</f>
        <v>Install</v>
      </c>
    </row>
    <row r="99" spans="1:18" ht="12.75" customHeight="1">
      <c r="C99" s="164" t="s">
        <v>121</v>
      </c>
      <c r="D99" s="19">
        <f ca="1">+IF($D107="Left of Pair",((D98+F98)*Worksheet!$AE$7)/2,IF($D107="Panel",(D98+F98)*Worksheet!$AE$7,IF($H107="SOR",D98*2.5+6,IF($H107="SOR T&amp;B",D98*2.5+6))))</f>
        <v>91.25</v>
      </c>
      <c r="E99" s="19" t="s">
        <v>122</v>
      </c>
      <c r="F99" s="369">
        <f ca="1">H98+15</f>
        <v>97</v>
      </c>
      <c r="G99" s="448" cm="1">
        <f t="array" aca="1" ref="G99" ca="1">INDIRECT("'Worksheet'!$Y"&amp;$B97)</f>
        <v>0</v>
      </c>
      <c r="H99" s="448"/>
      <c r="I99" s="449"/>
      <c r="L99" s="164" t="s">
        <v>121</v>
      </c>
      <c r="M99">
        <f t="shared" ca="1" si="7"/>
        <v>91.25</v>
      </c>
      <c r="N99" s="19" t="s">
        <v>122</v>
      </c>
      <c r="O99" s="369">
        <f ca="1">F99</f>
        <v>97</v>
      </c>
      <c r="P99" s="450">
        <f ca="1">G99</f>
        <v>0</v>
      </c>
      <c r="Q99" s="450"/>
      <c r="R99" s="451"/>
    </row>
    <row r="100" spans="1:18" ht="19.5" customHeight="1">
      <c r="C100" s="166"/>
      <c r="D100" s="161" cm="1">
        <f t="array" aca="1" ref="D100" ca="1">IF($D107="Left of Pair",INDIRECT("'Worksheet'!$Q"&amp;$B97)/2,IF($D107="Panel",INDIRECT("'Worksheet'!$Q"&amp;$B97)))</f>
        <v>1.25</v>
      </c>
      <c r="E100" s="42" t="s">
        <v>41</v>
      </c>
      <c r="F100" s="370"/>
      <c r="G100" s="448"/>
      <c r="H100" s="448"/>
      <c r="I100" s="449"/>
      <c r="L100" s="166"/>
      <c r="M100" s="161">
        <f t="shared" ca="1" si="7"/>
        <v>1.25</v>
      </c>
      <c r="N100" s="42" t="s">
        <v>41</v>
      </c>
      <c r="O100" s="370"/>
      <c r="P100" s="450"/>
      <c r="Q100" s="452"/>
      <c r="R100" s="453"/>
    </row>
    <row r="101" spans="1:18" ht="15.75">
      <c r="C101" s="164" t="s">
        <v>135</v>
      </c>
      <c r="D101" s="19">
        <f ca="1">+IF(D105="yes",IF($D107="Left of Pair",($D102*$H105),IF($D107="Panel",$D102*$H105,IF($H107="SOR",$D102*$H105," ")))," ")</f>
        <v>89.899999999999991</v>
      </c>
      <c r="E101" s="19" t="s">
        <v>122</v>
      </c>
      <c r="F101" s="369">
        <f ca="1">IF(D105="YES",H98+12," ")</f>
        <v>94</v>
      </c>
      <c r="H101" s="343" t="s">
        <v>10</v>
      </c>
      <c r="I101" s="371" cm="1">
        <f t="array" aca="1" ref="I101" ca="1">INDIRECT("'Worksheet'!$Q"&amp;B97)</f>
        <v>2.5</v>
      </c>
      <c r="L101" s="164" t="s">
        <v>135</v>
      </c>
      <c r="M101">
        <f t="shared" ca="1" si="7"/>
        <v>89.899999999999991</v>
      </c>
      <c r="N101" s="19" t="s">
        <v>122</v>
      </c>
      <c r="O101" s="369">
        <f ca="1">F101</f>
        <v>94</v>
      </c>
      <c r="P101" s="19"/>
      <c r="Q101" s="343" t="s">
        <v>10</v>
      </c>
      <c r="R101" s="160">
        <f ca="1">I101</f>
        <v>2.5</v>
      </c>
    </row>
    <row r="102" spans="1:18">
      <c r="C102" s="167"/>
      <c r="D102" s="161" cm="1">
        <f t="array" aca="1" ref="D102" ca="1">IF(D105="yes",IF($D107="Left of Pair",INDIRECT("'Worksheet'!$S"&amp;$B97)/2,IF($D107="Panel",INDIRECT("'Worksheet'!$S"&amp;$B97)))," ")</f>
        <v>1.45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36.5</v>
      </c>
      <c r="L102" s="167"/>
      <c r="M102" s="344">
        <f t="shared" ca="1" si="7"/>
        <v>1.45</v>
      </c>
      <c r="N102" s="345" t="s">
        <v>41</v>
      </c>
      <c r="O102" s="372"/>
      <c r="P102" s="20"/>
      <c r="Q102" s="343" t="s">
        <v>116</v>
      </c>
      <c r="R102" s="32">
        <f ca="1">I102</f>
        <v>36.5</v>
      </c>
    </row>
    <row r="103" spans="1:18" ht="12.75" customHeight="1">
      <c r="C103" s="168" t="s">
        <v>114</v>
      </c>
      <c r="D103" s="373" t="str" cm="1">
        <f t="array" aca="1" ref="D103" ca="1">INDIRECT("'Worksheet'!$B"&amp;$B97)</f>
        <v>High Council</v>
      </c>
      <c r="E103" s="22"/>
      <c r="F103" s="23"/>
      <c r="G103" s="22"/>
      <c r="H103" s="24"/>
      <c r="I103" s="445" t="str" cm="1">
        <f t="array" aca="1" ref="I103" ca="1">INDIRECT("'Worksheet'!$A"&amp;$B97)</f>
        <v>P1-8</v>
      </c>
      <c r="L103" s="168" t="s">
        <v>114</v>
      </c>
      <c r="M103" s="31" t="str">
        <f t="shared" ca="1" si="7"/>
        <v>High Council</v>
      </c>
      <c r="N103" s="20"/>
      <c r="O103" s="33"/>
      <c r="P103" s="27"/>
      <c r="Q103" s="24"/>
      <c r="R103" s="445" t="str">
        <f ca="1">I103</f>
        <v>P1-8</v>
      </c>
    </row>
    <row r="104" spans="1:18" ht="15.75" customHeight="1">
      <c r="C104" s="164" t="s">
        <v>117</v>
      </c>
      <c r="D104" s="346" cm="1">
        <f t="array" aca="1" ref="D104" ca="1">INDIRECT("'Worksheet'!$H"&amp;$B97)</f>
        <v>3.5</v>
      </c>
      <c r="E104" s="20"/>
      <c r="F104" s="169" t="s">
        <v>118</v>
      </c>
      <c r="G104" s="35"/>
      <c r="H104" s="36" t="str">
        <f>+IF(Worksheet!$R$38=TRUE,"Yes",IF(Worksheet!$R$38=FALSE,"No"))</f>
        <v>Yes</v>
      </c>
      <c r="I104" s="446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46"/>
    </row>
    <row r="105" spans="1:18" ht="15.75" customHeight="1">
      <c r="C105" s="164" t="s">
        <v>119</v>
      </c>
      <c r="D105" s="37" t="str">
        <f ca="1">IF($E105&gt;0,"YES"," ")</f>
        <v>YES</v>
      </c>
      <c r="E105" s="347" t="str" cm="1">
        <f t="array" aca="1" ref="E105" ca="1">INDIRECT("'Worksheet'!$X"&amp;$B97)</f>
        <v xml:space="preserve">Flameguard </v>
      </c>
      <c r="F105" s="39"/>
      <c r="G105" s="20"/>
      <c r="H105" s="391" cm="1">
        <f t="array" aca="1" ref="H105" ca="1">INDIRECT("'Worksheet'!$R"&amp;$B97)</f>
        <v>62</v>
      </c>
      <c r="I105" s="446"/>
      <c r="J105" s="40"/>
      <c r="L105" s="164" t="s">
        <v>119</v>
      </c>
      <c r="M105" s="37" t="str">
        <f t="shared" ca="1" si="7"/>
        <v>YES</v>
      </c>
      <c r="N105" s="38" t="str">
        <f ca="1">E105</f>
        <v xml:space="preserve">Flameguard </v>
      </c>
      <c r="O105" s="39"/>
      <c r="P105" s="20"/>
      <c r="Q105" s="392">
        <f ca="1">H105</f>
        <v>62</v>
      </c>
      <c r="R105" s="446"/>
    </row>
    <row r="106" spans="1:18" ht="15.75" customHeight="1">
      <c r="C106" s="164" t="s">
        <v>13</v>
      </c>
      <c r="D106" s="347" t="str" cm="1">
        <f t="array" aca="1" ref="D106" ca="1">INDIRECT("'Worksheet'!$W"&amp;$B97)</f>
        <v>5th Avenue 72</v>
      </c>
      <c r="E106" s="22"/>
      <c r="F106" s="23"/>
      <c r="G106" s="22"/>
      <c r="H106" s="391" cm="1">
        <f t="array" aca="1" ref="H106" ca="1">INDIRECT("'Worksheet'!$P"&amp;$B97)</f>
        <v>74</v>
      </c>
      <c r="I106" s="447"/>
      <c r="L106" s="164" t="s">
        <v>13</v>
      </c>
      <c r="M106" s="21" t="str">
        <f t="shared" ca="1" si="7"/>
        <v>5th Avenue 72</v>
      </c>
      <c r="N106" s="22"/>
      <c r="O106" s="23"/>
      <c r="P106" s="22"/>
      <c r="Q106" s="392">
        <f ca="1">H106</f>
        <v>74</v>
      </c>
      <c r="R106" s="447"/>
    </row>
    <row r="107" spans="1:18" ht="23.25">
      <c r="C107" s="348" cm="1">
        <f t="array" aca="1" ref="C107" ca="1">INDIRECT("'Worksheet'!$J"&amp;$B97)</f>
        <v>0</v>
      </c>
      <c r="D107" s="444" t="str" cm="1">
        <f t="array" aca="1" ref="D107" ca="1">IF(INDIRECT("'Worksheet'!$D"&amp;$B97)=1, "Left of Pair", IF(INDIRECT("'Worksheet'!$E"&amp;$B97)=1, "Panel"))</f>
        <v>Left of Pair</v>
      </c>
      <c r="E107" s="444"/>
      <c r="F107" s="444"/>
      <c r="G107" s="374"/>
      <c r="H107" s="374" t="str" cm="1">
        <f t="array" aca="1" ref="H107" ca="1">IF(INDIRECT("'Worksheet'!$F"&amp;$B97)="st","SOR T&amp;B"," ")</f>
        <v xml:space="preserve"> </v>
      </c>
      <c r="I107" s="415">
        <f>IF(Worksheet!$D$46&gt;0,Worksheet!$D$46," ")</f>
        <v>30</v>
      </c>
      <c r="L107" s="41">
        <f ca="1">$C107</f>
        <v>0</v>
      </c>
      <c r="M107" s="444" t="str" cm="1">
        <f t="array" aca="1" ref="M107" ca="1">IF(INDIRECT("'Worksheet'!$D"&amp;$B97)=1, "Right of Pair", IF(INDIRECT("'Worksheet'!$E"&amp;$B97)=1, "Do Not Use"))</f>
        <v>Right of Pair</v>
      </c>
      <c r="N107" s="444"/>
      <c r="O107" s="444"/>
      <c r="P107" s="374"/>
      <c r="Q107" s="374"/>
      <c r="R107" s="415">
        <f>IF(Worksheet!$D$46&gt;0,Worksheet!$D$46," ")</f>
        <v>30</v>
      </c>
    </row>
    <row r="109" spans="1:18" ht="19.5">
      <c r="A109" t="s">
        <v>32</v>
      </c>
      <c r="B109">
        <v>19</v>
      </c>
      <c r="C109" s="164" t="s">
        <v>113</v>
      </c>
      <c r="D109" s="21" t="str">
        <f>+Worksheet!$W$4</f>
        <v>Windcrest WO#J5121027-00234.01</v>
      </c>
      <c r="E109" s="22"/>
      <c r="F109" s="23"/>
      <c r="G109" s="22"/>
      <c r="H109" s="24"/>
      <c r="I109" s="25">
        <f>+Worksheet!$AR$1</f>
        <v>0</v>
      </c>
      <c r="J109" s="26"/>
      <c r="L109" s="164" t="s">
        <v>113</v>
      </c>
      <c r="M109" s="21" t="str">
        <f>+Worksheet!$W$4</f>
        <v>Windcrest WO#J5121027-00234.01</v>
      </c>
      <c r="N109" s="22"/>
      <c r="O109" s="23"/>
      <c r="P109" s="22"/>
      <c r="Q109" s="24"/>
      <c r="R109" s="25">
        <f>+Worksheet!$AR$1</f>
        <v>0</v>
      </c>
    </row>
    <row r="110" spans="1:18" ht="32.25">
      <c r="C110" s="165" t="s">
        <v>128</v>
      </c>
      <c r="D110" s="150" cm="1">
        <f t="array" aca="1" ref="D110" ca="1">INDIRECT("'Worksheet'!$K"&amp;$B109)</f>
        <v>40</v>
      </c>
      <c r="E110" s="151" t="s">
        <v>115</v>
      </c>
      <c r="F110" s="150" cm="1">
        <f t="array" aca="1" ref="F110" ca="1">INDIRECT("'Worksheet'!$M"&amp;$B109)</f>
        <v>13</v>
      </c>
      <c r="G110" s="151" t="s">
        <v>122</v>
      </c>
      <c r="H110" s="150" cm="1">
        <f t="array" aca="1" ref="H110" ca="1">INDIRECT("'Worksheet'!$O"&amp;$B109)</f>
        <v>107</v>
      </c>
      <c r="I110" s="29" t="str">
        <f>+IF(Worksheet!$R$34=1,"Install",IF(Worksheet!$R$34=2,"Ship",IF(Worksheet!$R$34=3,"Deliver",IF(Worksheet!$R$34=4,"Will Call"))))</f>
        <v>Install</v>
      </c>
      <c r="J110" s="30"/>
      <c r="L110" s="165" t="s">
        <v>128</v>
      </c>
      <c r="M110" s="150">
        <f t="shared" ref="M110:M118" ca="1" si="8">D110</f>
        <v>40</v>
      </c>
      <c r="N110" s="151" t="s">
        <v>115</v>
      </c>
      <c r="O110" s="152">
        <f ca="1">F110</f>
        <v>13</v>
      </c>
      <c r="P110" s="151" t="s">
        <v>122</v>
      </c>
      <c r="Q110" s="153">
        <f ca="1">H110</f>
        <v>107</v>
      </c>
      <c r="R110" s="29" t="str">
        <f>+IF(Worksheet!$R$34=1,"Install",IF(Worksheet!$R$34=2,"Ship",IF(Worksheet!$R$34=3,"Deliver",IF(Worksheet!$R$34=4,"Will Call"))))</f>
        <v>Install</v>
      </c>
    </row>
    <row r="111" spans="1:18" ht="12.75" customHeight="1">
      <c r="C111" s="164" t="s">
        <v>121</v>
      </c>
      <c r="D111" s="19">
        <f ca="1">+IF($D119="Left of Pair",((D110+F110)*Worksheet!$AE$7)/2,IF($D119="Panel",(D110+F110)*Worksheet!$AE$7,IF($H119="SOR",D110*2.5+6,IF($H119="SOR T&amp;B",D110*2.5+6))))</f>
        <v>66.25</v>
      </c>
      <c r="E111" s="19" t="s">
        <v>122</v>
      </c>
      <c r="F111" s="369">
        <f ca="1">H110+15</f>
        <v>122</v>
      </c>
      <c r="G111" s="448" cm="1">
        <f t="array" aca="1" ref="G111" ca="1">INDIRECT("'Worksheet'!$Y"&amp;$B109)</f>
        <v>0</v>
      </c>
      <c r="H111" s="448"/>
      <c r="I111" s="449"/>
      <c r="L111" s="164" t="s">
        <v>121</v>
      </c>
      <c r="M111">
        <f t="shared" ca="1" si="8"/>
        <v>66.25</v>
      </c>
      <c r="N111" s="19" t="s">
        <v>122</v>
      </c>
      <c r="O111" s="369">
        <f ca="1">F111</f>
        <v>122</v>
      </c>
      <c r="P111" s="450">
        <f ca="1">G111</f>
        <v>0</v>
      </c>
      <c r="Q111" s="450"/>
      <c r="R111" s="451"/>
    </row>
    <row r="112" spans="1:18" ht="19.5" customHeight="1">
      <c r="C112" s="166"/>
      <c r="D112" s="161" cm="1">
        <f t="array" aca="1" ref="D112" ca="1">IF($D119="Left of Pair",INDIRECT("'Worksheet'!$Q"&amp;$B109)/2,IF($D119="Panel",INDIRECT("'Worksheet'!$Q"&amp;$B109)))</f>
        <v>0.9</v>
      </c>
      <c r="E112" s="42" t="s">
        <v>41</v>
      </c>
      <c r="F112" s="370"/>
      <c r="G112" s="448"/>
      <c r="H112" s="448"/>
      <c r="I112" s="449"/>
      <c r="L112" s="166"/>
      <c r="M112" s="161">
        <f t="shared" ca="1" si="8"/>
        <v>0.9</v>
      </c>
      <c r="N112" s="42" t="s">
        <v>41</v>
      </c>
      <c r="O112" s="370"/>
      <c r="P112" s="450"/>
      <c r="Q112" s="452"/>
      <c r="R112" s="453"/>
    </row>
    <row r="113" spans="1:18" ht="15.75">
      <c r="C113" s="164" t="s">
        <v>135</v>
      </c>
      <c r="D113" s="19">
        <f ca="1">+IF(D117="yes",IF($D119="Left of Pair",($D114*$H117),IF($D119="Panel",$D114*$H117,IF($H119="SOR",$D114*$H117," ")))," ")</f>
        <v>65.100000000000009</v>
      </c>
      <c r="E113" s="19" t="s">
        <v>122</v>
      </c>
      <c r="F113" s="369">
        <f ca="1">IF(D117="YES",H110+12," ")</f>
        <v>119</v>
      </c>
      <c r="H113" s="343" t="s">
        <v>10</v>
      </c>
      <c r="I113" s="371" cm="1">
        <f t="array" aca="1" ref="I113" ca="1">INDIRECT("'Worksheet'!$Q"&amp;B109)</f>
        <v>1.8</v>
      </c>
      <c r="L113" s="164" t="s">
        <v>135</v>
      </c>
      <c r="M113">
        <f t="shared" ca="1" si="8"/>
        <v>65.100000000000009</v>
      </c>
      <c r="N113" s="19" t="s">
        <v>122</v>
      </c>
      <c r="O113" s="369">
        <f ca="1">F113</f>
        <v>119</v>
      </c>
      <c r="P113" s="19"/>
      <c r="Q113" s="343" t="s">
        <v>10</v>
      </c>
      <c r="R113" s="160">
        <f ca="1">I113</f>
        <v>1.8</v>
      </c>
    </row>
    <row r="114" spans="1:18">
      <c r="C114" s="167"/>
      <c r="D114" s="161" cm="1">
        <f t="array" aca="1" ref="D114" ca="1">IF(D117="yes",IF($D119="Left of Pair",INDIRECT("'Worksheet'!$S"&amp;$B109)/2,IF($D119="Panel",INDIRECT("'Worksheet'!$S"&amp;$B109)))," ")</f>
        <v>1.05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26.5</v>
      </c>
      <c r="L114" s="167"/>
      <c r="M114" s="344">
        <f t="shared" ca="1" si="8"/>
        <v>1.05</v>
      </c>
      <c r="N114" s="345" t="s">
        <v>41</v>
      </c>
      <c r="O114" s="372"/>
      <c r="P114" s="20"/>
      <c r="Q114" s="343" t="s">
        <v>116</v>
      </c>
      <c r="R114" s="32">
        <f ca="1">I114</f>
        <v>26.5</v>
      </c>
    </row>
    <row r="115" spans="1:18" ht="12.75" customHeight="1">
      <c r="C115" s="168" t="s">
        <v>114</v>
      </c>
      <c r="D115" s="373" t="str" cm="1">
        <f t="array" aca="1" ref="D115" ca="1">INDIRECT("'Worksheet'!$B"&amp;$B109)</f>
        <v>Foyers</v>
      </c>
      <c r="E115" s="22"/>
      <c r="F115" s="23"/>
      <c r="G115" s="22"/>
      <c r="H115" s="24"/>
      <c r="I115" s="445" t="str" cm="1">
        <f t="array" aca="1" ref="I115" ca="1">INDIRECT("'Worksheet'!$A"&amp;$B109)</f>
        <v>P1-9</v>
      </c>
      <c r="L115" s="168" t="s">
        <v>114</v>
      </c>
      <c r="M115" s="31" t="str">
        <f t="shared" ca="1" si="8"/>
        <v>Foyers</v>
      </c>
      <c r="N115" s="20"/>
      <c r="O115" s="33"/>
      <c r="P115" s="27"/>
      <c r="Q115" s="24"/>
      <c r="R115" s="445" t="str">
        <f ca="1">I115</f>
        <v>P1-9</v>
      </c>
    </row>
    <row r="116" spans="1:18" ht="15.75" customHeight="1">
      <c r="C116" s="164" t="s">
        <v>117</v>
      </c>
      <c r="D116" s="346" cm="1">
        <f t="array" aca="1" ref="D116" ca="1">INDIRECT("'Worksheet'!$H"&amp;$B109)</f>
        <v>3.5</v>
      </c>
      <c r="E116" s="20"/>
      <c r="F116" s="169" t="s">
        <v>118</v>
      </c>
      <c r="G116" s="35"/>
      <c r="H116" s="36" t="str">
        <f>+IF(Worksheet!$R$38=TRUE,"Yes",IF(Worksheet!$R$38=FALSE,"No"))</f>
        <v>Yes</v>
      </c>
      <c r="I116" s="446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46"/>
    </row>
    <row r="117" spans="1:18" ht="15.75" customHeight="1">
      <c r="C117" s="164" t="s">
        <v>119</v>
      </c>
      <c r="D117" s="37" t="str">
        <f ca="1">IF($E117&gt;0,"YES"," ")</f>
        <v>YES</v>
      </c>
      <c r="E117" s="347" t="str" cm="1">
        <f t="array" aca="1" ref="E117" ca="1">INDIRECT("'Worksheet'!$X"&amp;$B109)</f>
        <v xml:space="preserve">Flameguard </v>
      </c>
      <c r="F117" s="39"/>
      <c r="G117" s="20"/>
      <c r="H117" s="391" cm="1">
        <f t="array" aca="1" ref="H117" ca="1">INDIRECT("'Worksheet'!$R"&amp;$B109)</f>
        <v>62</v>
      </c>
      <c r="I117" s="446"/>
      <c r="J117" s="40"/>
      <c r="L117" s="164" t="s">
        <v>119</v>
      </c>
      <c r="M117" s="37" t="str">
        <f t="shared" ca="1" si="8"/>
        <v>YES</v>
      </c>
      <c r="N117" s="38" t="str">
        <f ca="1">E117</f>
        <v xml:space="preserve">Flameguard </v>
      </c>
      <c r="O117" s="39"/>
      <c r="P117" s="20"/>
      <c r="Q117" s="392">
        <f ca="1">H117</f>
        <v>62</v>
      </c>
      <c r="R117" s="446"/>
    </row>
    <row r="118" spans="1:18" ht="15.75" customHeight="1">
      <c r="C118" s="164" t="s">
        <v>13</v>
      </c>
      <c r="D118" s="347" t="str" cm="1">
        <f t="array" aca="1" ref="D118" ca="1">INDIRECT("'Worksheet'!$W"&amp;$B109)</f>
        <v>5th Avenue 72</v>
      </c>
      <c r="E118" s="22"/>
      <c r="F118" s="23"/>
      <c r="G118" s="22"/>
      <c r="H118" s="391" cm="1">
        <f t="array" aca="1" ref="H118" ca="1">INDIRECT("'Worksheet'!$P"&amp;$B109)</f>
        <v>74</v>
      </c>
      <c r="I118" s="447"/>
      <c r="L118" s="164" t="s">
        <v>13</v>
      </c>
      <c r="M118" s="21" t="str">
        <f t="shared" ca="1" si="8"/>
        <v>5th Avenue 72</v>
      </c>
      <c r="N118" s="22"/>
      <c r="O118" s="23"/>
      <c r="P118" s="22"/>
      <c r="Q118" s="392">
        <f ca="1">H118</f>
        <v>74</v>
      </c>
      <c r="R118" s="447"/>
    </row>
    <row r="119" spans="1:18" ht="23.25">
      <c r="C119" s="348" cm="1">
        <f t="array" aca="1" ref="C119" ca="1">INDIRECT("'Worksheet'!$J"&amp;$B109)</f>
        <v>0</v>
      </c>
      <c r="D119" s="444" t="str" cm="1">
        <f t="array" aca="1" ref="D119" ca="1">IF(INDIRECT("'Worksheet'!$D"&amp;$B109)=1, "Left of Pair", IF(INDIRECT("'Worksheet'!$E"&amp;$B109)=1, "Panel"))</f>
        <v>Left of Pair</v>
      </c>
      <c r="E119" s="444"/>
      <c r="F119" s="444"/>
      <c r="G119" s="374"/>
      <c r="H119" s="374" t="str" cm="1">
        <f t="array" aca="1" ref="H119" ca="1">IF(INDIRECT("'Worksheet'!$F"&amp;$B109)="st","SOR T&amp;B"," ")</f>
        <v xml:space="preserve"> </v>
      </c>
      <c r="I119" s="415">
        <f>IF(Worksheet!$D$46&gt;0,Worksheet!$D$46," ")</f>
        <v>30</v>
      </c>
      <c r="L119" s="41">
        <f ca="1">$C119</f>
        <v>0</v>
      </c>
      <c r="M119" s="444" t="str" cm="1">
        <f t="array" aca="1" ref="M119" ca="1">IF(INDIRECT("'Worksheet'!$D"&amp;$B109)=1, "Right of Pair", IF(INDIRECT("'Worksheet'!$E"&amp;$B109)=1, "Do Not Use"))</f>
        <v>Right of Pair</v>
      </c>
      <c r="N119" s="444"/>
      <c r="O119" s="444"/>
      <c r="P119" s="374"/>
      <c r="Q119" s="374"/>
      <c r="R119" s="415">
        <f>IF(Worksheet!$D$46&gt;0,Worksheet!$D$46," ")</f>
        <v>30</v>
      </c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+Worksheet!$W$4</f>
        <v>Windcrest WO#J5121027-00234.01</v>
      </c>
      <c r="E123" s="22"/>
      <c r="F123" s="23"/>
      <c r="G123" s="22"/>
      <c r="H123" s="24"/>
      <c r="I123" s="25">
        <f>+Worksheet!$AR$1</f>
        <v>0</v>
      </c>
      <c r="J123" s="26"/>
      <c r="L123" s="164" t="s">
        <v>113</v>
      </c>
      <c r="M123" s="21" t="str">
        <f>+Worksheet!$W$4</f>
        <v>Windcrest WO#J5121027-00234.01</v>
      </c>
      <c r="N123" s="22"/>
      <c r="O123" s="23"/>
      <c r="P123" s="22"/>
      <c r="Q123" s="24"/>
      <c r="R123" s="25">
        <f>+Worksheet!$AR$1</f>
        <v>0</v>
      </c>
    </row>
    <row r="124" spans="1:18" ht="32.25">
      <c r="C124" s="165" t="s">
        <v>128</v>
      </c>
      <c r="D124" s="150" cm="1">
        <f t="array" aca="1" ref="D124" ca="1">INDIRECT("'Worksheet'!$K"&amp;$B123)</f>
        <v>40</v>
      </c>
      <c r="E124" s="151" t="s">
        <v>115</v>
      </c>
      <c r="F124" s="150" cm="1">
        <f t="array" aca="1" ref="F124" ca="1">INDIRECT("'Worksheet'!$M"&amp;$B123)</f>
        <v>13</v>
      </c>
      <c r="G124" s="151" t="s">
        <v>122</v>
      </c>
      <c r="H124" s="150" cm="1">
        <f t="array" aca="1" ref="H124" ca="1">INDIRECT("'Worksheet'!$O"&amp;$B123)</f>
        <v>107</v>
      </c>
      <c r="I124" s="29" t="str">
        <f>+IF(Worksheet!$R$34=1,"Install",IF(Worksheet!$R$34=2,"Ship",IF(Worksheet!$R$34=3,"Deliver",IF(Worksheet!$R$34=4,"Will Call"))))</f>
        <v>Install</v>
      </c>
      <c r="J124" s="30"/>
      <c r="L124" s="165" t="s">
        <v>128</v>
      </c>
      <c r="M124" s="150">
        <f t="shared" ref="M124:M132" ca="1" si="9">D124</f>
        <v>40</v>
      </c>
      <c r="N124" s="151" t="s">
        <v>115</v>
      </c>
      <c r="O124" s="152">
        <f ca="1">F124</f>
        <v>13</v>
      </c>
      <c r="P124" s="151" t="s">
        <v>122</v>
      </c>
      <c r="Q124" s="153">
        <f ca="1">H124</f>
        <v>107</v>
      </c>
      <c r="R124" s="29" t="str">
        <f>+IF(Worksheet!$R$34=1,"Install",IF(Worksheet!$R$34=2,"Ship",IF(Worksheet!$R$34=3,"Deliver",IF(Worksheet!$R$34=4,"Will Call"))))</f>
        <v>Install</v>
      </c>
    </row>
    <row r="125" spans="1:18" ht="12.75" customHeight="1">
      <c r="C125" s="164" t="s">
        <v>121</v>
      </c>
      <c r="D125" s="19">
        <f ca="1">+IF($D133="Left of Pair",((D124+F124)*Worksheet!$AE$7)/2,IF($D133="Panel",(D124+F124)*Worksheet!$AE$7,IF($H133="SOR",D124*2.5+6,IF($H133="SOR T&amp;B",D124*2.5+6))))</f>
        <v>66.25</v>
      </c>
      <c r="E125" s="19" t="s">
        <v>122</v>
      </c>
      <c r="F125" s="369">
        <f ca="1">H124+15</f>
        <v>122</v>
      </c>
      <c r="G125" s="448" cm="1">
        <f t="array" aca="1" ref="G125" ca="1">INDIRECT("'Worksheet'!$Y"&amp;$B123)</f>
        <v>0</v>
      </c>
      <c r="H125" s="448"/>
      <c r="I125" s="449"/>
      <c r="L125" s="164" t="s">
        <v>121</v>
      </c>
      <c r="M125">
        <f t="shared" ca="1" si="9"/>
        <v>66.25</v>
      </c>
      <c r="N125" s="19" t="s">
        <v>122</v>
      </c>
      <c r="O125" s="369">
        <f ca="1">F125</f>
        <v>122</v>
      </c>
      <c r="P125" s="450">
        <f ca="1">G125</f>
        <v>0</v>
      </c>
      <c r="Q125" s="450"/>
      <c r="R125" s="451"/>
    </row>
    <row r="126" spans="1:18" ht="19.5" customHeight="1">
      <c r="C126" s="166"/>
      <c r="D126" s="161" cm="1">
        <f t="array" aca="1" ref="D126" ca="1">IF($D133="Left of Pair",INDIRECT("'Worksheet'!$Q"&amp;$B123)/2,IF($D133="Panel",INDIRECT("'Worksheet'!$Q"&amp;$B123)))</f>
        <v>0.9</v>
      </c>
      <c r="E126" s="42" t="s">
        <v>41</v>
      </c>
      <c r="F126" s="370"/>
      <c r="G126" s="448"/>
      <c r="H126" s="448"/>
      <c r="I126" s="449"/>
      <c r="L126" s="166"/>
      <c r="M126" s="161">
        <f t="shared" ca="1" si="9"/>
        <v>0.9</v>
      </c>
      <c r="N126" s="42" t="s">
        <v>41</v>
      </c>
      <c r="O126" s="370"/>
      <c r="P126" s="450"/>
      <c r="Q126" s="452"/>
      <c r="R126" s="453"/>
    </row>
    <row r="127" spans="1:18" ht="15.75">
      <c r="C127" s="164" t="s">
        <v>135</v>
      </c>
      <c r="D127" s="19">
        <f ca="1">+IF(D131="yes",IF($D133="Left of Pair",($D128*$H131),IF($D133="Panel",$D128*$H131,IF($H133="SOR",$D128*$H131," ")))," ")</f>
        <v>65.100000000000009</v>
      </c>
      <c r="E127" s="19" t="s">
        <v>122</v>
      </c>
      <c r="F127" s="369">
        <f ca="1">IF(D131="YES",H124+12," ")</f>
        <v>119</v>
      </c>
      <c r="H127" s="343" t="s">
        <v>10</v>
      </c>
      <c r="I127" s="371" cm="1">
        <f t="array" aca="1" ref="I127" ca="1">INDIRECT("'Worksheet'!$Q"&amp;B123)</f>
        <v>1.8</v>
      </c>
      <c r="L127" s="164" t="s">
        <v>135</v>
      </c>
      <c r="M127">
        <f t="shared" ca="1" si="9"/>
        <v>65.100000000000009</v>
      </c>
      <c r="N127" s="19" t="s">
        <v>122</v>
      </c>
      <c r="O127" s="369">
        <f ca="1">F127</f>
        <v>119</v>
      </c>
      <c r="P127" s="19"/>
      <c r="Q127" s="343" t="s">
        <v>10</v>
      </c>
      <c r="R127" s="160">
        <f ca="1">I127</f>
        <v>1.8</v>
      </c>
    </row>
    <row r="128" spans="1:18">
      <c r="C128" s="167"/>
      <c r="D128" s="161" cm="1">
        <f t="array" aca="1" ref="D128" ca="1">IF(D131="yes",IF($D133="Left of Pair",INDIRECT("'Worksheet'!$S"&amp;$B123)/2,IF($D133="Panel",INDIRECT("'Worksheet'!$S"&amp;$B123)))," ")</f>
        <v>1.05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26.5</v>
      </c>
      <c r="L128" s="167"/>
      <c r="M128" s="344">
        <f t="shared" ca="1" si="9"/>
        <v>1.05</v>
      </c>
      <c r="N128" s="345" t="s">
        <v>41</v>
      </c>
      <c r="O128" s="372"/>
      <c r="P128" s="20"/>
      <c r="Q128" s="343" t="s">
        <v>116</v>
      </c>
      <c r="R128" s="32">
        <f ca="1">I128</f>
        <v>26.5</v>
      </c>
    </row>
    <row r="129" spans="1:18" ht="12.75" customHeight="1">
      <c r="C129" s="168" t="s">
        <v>114</v>
      </c>
      <c r="D129" s="373" t="str" cm="1">
        <f t="array" aca="1" ref="D129" ca="1">INDIRECT("'Worksheet'!$B"&amp;$B123)</f>
        <v>Foyers</v>
      </c>
      <c r="E129" s="22"/>
      <c r="F129" s="23"/>
      <c r="G129" s="22"/>
      <c r="H129" s="24"/>
      <c r="I129" s="445" t="str" cm="1">
        <f t="array" aca="1" ref="I129" ca="1">INDIRECT("'Worksheet'!$A"&amp;$B123)</f>
        <v>P1-10</v>
      </c>
      <c r="L129" s="168" t="s">
        <v>114</v>
      </c>
      <c r="M129" s="31" t="str">
        <f t="shared" ca="1" si="9"/>
        <v>Foyers</v>
      </c>
      <c r="N129" s="20"/>
      <c r="O129" s="33"/>
      <c r="P129" s="27"/>
      <c r="Q129" s="24"/>
      <c r="R129" s="445" t="str">
        <f ca="1">I129</f>
        <v>P1-10</v>
      </c>
    </row>
    <row r="130" spans="1:18" ht="15.75" customHeight="1">
      <c r="C130" s="164" t="s">
        <v>117</v>
      </c>
      <c r="D130" s="346" cm="1">
        <f t="array" aca="1" ref="D130" ca="1">INDIRECT("'Worksheet'!$H"&amp;$B123)</f>
        <v>3.5</v>
      </c>
      <c r="E130" s="20"/>
      <c r="F130" s="169" t="s">
        <v>118</v>
      </c>
      <c r="G130" s="35"/>
      <c r="H130" s="36" t="str">
        <f>+IF(Worksheet!$R$38=TRUE,"Yes",IF(Worksheet!$R$38=FALSE,"No"))</f>
        <v>Yes</v>
      </c>
      <c r="I130" s="446"/>
      <c r="L130" s="164" t="s">
        <v>117</v>
      </c>
      <c r="M130" s="34">
        <f t="shared" ca="1" si="9"/>
        <v>3.5</v>
      </c>
      <c r="N130" s="20"/>
      <c r="O130" s="169" t="s">
        <v>118</v>
      </c>
      <c r="P130" s="35"/>
      <c r="Q130" s="36" t="str">
        <f>H130</f>
        <v>Yes</v>
      </c>
      <c r="R130" s="446"/>
    </row>
    <row r="131" spans="1:18" ht="15.75" customHeight="1">
      <c r="C131" s="164" t="s">
        <v>119</v>
      </c>
      <c r="D131" s="37" t="str">
        <f ca="1">IF($E131&gt;0,"YES"," ")</f>
        <v>YES</v>
      </c>
      <c r="E131" s="347" t="str" cm="1">
        <f t="array" aca="1" ref="E131" ca="1">INDIRECT("'Worksheet'!$X"&amp;$B123)</f>
        <v xml:space="preserve">Flameguard </v>
      </c>
      <c r="F131" s="39"/>
      <c r="G131" s="20"/>
      <c r="H131" s="391" cm="1">
        <f t="array" aca="1" ref="H131" ca="1">INDIRECT("'Worksheet'!$R"&amp;$B123)</f>
        <v>62</v>
      </c>
      <c r="I131" s="446"/>
      <c r="J131" s="40"/>
      <c r="L131" s="164" t="s">
        <v>119</v>
      </c>
      <c r="M131" s="37" t="str">
        <f t="shared" ca="1" si="9"/>
        <v>YES</v>
      </c>
      <c r="N131" s="38" t="str">
        <f ca="1">E131</f>
        <v xml:space="preserve">Flameguard </v>
      </c>
      <c r="O131" s="39"/>
      <c r="P131" s="20"/>
      <c r="Q131" s="392">
        <f ca="1">H131</f>
        <v>62</v>
      </c>
      <c r="R131" s="446"/>
    </row>
    <row r="132" spans="1:18" ht="15.75" customHeight="1">
      <c r="C132" s="164" t="s">
        <v>13</v>
      </c>
      <c r="D132" s="347" t="str" cm="1">
        <f t="array" aca="1" ref="D132" ca="1">INDIRECT("'Worksheet'!$W"&amp;$B123)</f>
        <v>5th Avenue 72</v>
      </c>
      <c r="E132" s="22"/>
      <c r="F132" s="23"/>
      <c r="G132" s="22"/>
      <c r="H132" s="391" cm="1">
        <f t="array" aca="1" ref="H132" ca="1">INDIRECT("'Worksheet'!$P"&amp;$B123)</f>
        <v>74</v>
      </c>
      <c r="I132" s="447"/>
      <c r="L132" s="164" t="s">
        <v>13</v>
      </c>
      <c r="M132" s="21" t="str">
        <f t="shared" ca="1" si="9"/>
        <v>5th Avenue 72</v>
      </c>
      <c r="N132" s="22"/>
      <c r="O132" s="23"/>
      <c r="P132" s="22"/>
      <c r="Q132" s="392">
        <f ca="1">H132</f>
        <v>74</v>
      </c>
      <c r="R132" s="447"/>
    </row>
    <row r="133" spans="1:18" ht="23.25">
      <c r="C133" s="348" cm="1">
        <f t="array" aca="1" ref="C133" ca="1">INDIRECT("'Worksheet'!$J"&amp;$B123)</f>
        <v>0</v>
      </c>
      <c r="D133" s="444" t="str" cm="1">
        <f t="array" aca="1" ref="D133" ca="1">IF(INDIRECT("'Worksheet'!$D"&amp;$B123)=1, "Left of Pair", IF(INDIRECT("'Worksheet'!$E"&amp;$B123)=1, "Panel"))</f>
        <v>Left of Pair</v>
      </c>
      <c r="E133" s="444"/>
      <c r="F133" s="444"/>
      <c r="G133" s="374"/>
      <c r="H133" s="374" t="str" cm="1">
        <f t="array" aca="1" ref="H133" ca="1">IF(INDIRECT("'Worksheet'!$F"&amp;$B123)="st","SOR T&amp;B"," ")</f>
        <v xml:space="preserve"> </v>
      </c>
      <c r="I133" s="415">
        <f>IF(Worksheet!$D$46&gt;0,Worksheet!$D$46," ")</f>
        <v>30</v>
      </c>
      <c r="L133" s="41">
        <f ca="1">$C133</f>
        <v>0</v>
      </c>
      <c r="M133" s="444" t="str" cm="1">
        <f t="array" aca="1" ref="M133" ca="1">IF(INDIRECT("'Worksheet'!$D"&amp;$B123)=1, "Right of Pair", IF(INDIRECT("'Worksheet'!$E"&amp;$B123)=1, "Do Not Use"))</f>
        <v>Right of Pair</v>
      </c>
      <c r="N133" s="444"/>
      <c r="O133" s="444"/>
      <c r="P133" s="374"/>
      <c r="Q133" s="374"/>
      <c r="R133" s="415">
        <f>IF(Worksheet!$D$46&gt;0,Worksheet!$D$46," ")</f>
        <v>30</v>
      </c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+Worksheet!$W$4</f>
        <v>Windcrest WO#J5121027-00234.01</v>
      </c>
      <c r="E137" s="22"/>
      <c r="F137" s="23"/>
      <c r="G137" s="22"/>
      <c r="H137" s="24"/>
      <c r="I137" s="25">
        <f>+Worksheet!$AR$1</f>
        <v>0</v>
      </c>
      <c r="J137" s="26"/>
      <c r="L137" s="164" t="s">
        <v>113</v>
      </c>
      <c r="M137" s="21" t="str">
        <f>+Worksheet!$W$4</f>
        <v>Windcrest WO#J5121027-00234.01</v>
      </c>
      <c r="N137" s="22"/>
      <c r="O137" s="23"/>
      <c r="P137" s="22"/>
      <c r="Q137" s="24"/>
      <c r="R137" s="25">
        <f>+Worksheet!$AR$1</f>
        <v>0</v>
      </c>
    </row>
    <row r="138" spans="1:18" ht="32.25">
      <c r="C138" s="165" t="s">
        <v>128</v>
      </c>
      <c r="D138" s="150" cm="1">
        <f t="array" aca="1" ref="D138" ca="1">INDIRECT("'Worksheet'!$K"&amp;$B137)</f>
        <v>40</v>
      </c>
      <c r="E138" s="151" t="s">
        <v>115</v>
      </c>
      <c r="F138" s="150" cm="1">
        <f t="array" aca="1" ref="F138" ca="1">INDIRECT("'Worksheet'!$M"&amp;$B137)</f>
        <v>13</v>
      </c>
      <c r="G138" s="151" t="s">
        <v>122</v>
      </c>
      <c r="H138" s="150" cm="1">
        <f t="array" aca="1" ref="H138" ca="1">INDIRECT("'Worksheet'!$O"&amp;$B137)</f>
        <v>107</v>
      </c>
      <c r="I138" s="29" t="str">
        <f>+IF(Worksheet!$R$34=1,"Install",IF(Worksheet!$R$34=2,"Ship",IF(Worksheet!$R$34=3,"Deliver",IF(Worksheet!$R$34=4,"Will Call"))))</f>
        <v>Install</v>
      </c>
      <c r="J138" s="30"/>
      <c r="L138" s="165" t="s">
        <v>128</v>
      </c>
      <c r="M138" s="150">
        <f t="shared" ref="M138:M146" ca="1" si="10">D138</f>
        <v>40</v>
      </c>
      <c r="N138" s="151" t="s">
        <v>115</v>
      </c>
      <c r="O138" s="152">
        <f ca="1">F138</f>
        <v>13</v>
      </c>
      <c r="P138" s="151" t="s">
        <v>122</v>
      </c>
      <c r="Q138" s="153">
        <f ca="1">H138</f>
        <v>107</v>
      </c>
      <c r="R138" s="29" t="str">
        <f>+IF(Worksheet!$R$34=1,"Install",IF(Worksheet!$R$34=2,"Ship",IF(Worksheet!$R$34=3,"Deliver",IF(Worksheet!$R$34=4,"Will Call"))))</f>
        <v>Install</v>
      </c>
    </row>
    <row r="139" spans="1:18" ht="12.75" customHeight="1">
      <c r="C139" s="164" t="s">
        <v>121</v>
      </c>
      <c r="D139" s="19">
        <f ca="1">+IF($D147="Left of Pair",((D138+F138)*Worksheet!$AE$7)/2,IF($D147="Panel",(D138+F138)*Worksheet!$AE$7,IF($H147="SOR",D138*2.5+6,IF($H147="SOR T&amp;B",D138*2.5+6))))</f>
        <v>66.25</v>
      </c>
      <c r="E139" s="19" t="s">
        <v>122</v>
      </c>
      <c r="F139" s="369">
        <f ca="1">H138+15</f>
        <v>122</v>
      </c>
      <c r="G139" s="448" cm="1">
        <f t="array" aca="1" ref="G139" ca="1">INDIRECT("'Worksheet'!$Y"&amp;$B137)</f>
        <v>0</v>
      </c>
      <c r="H139" s="448"/>
      <c r="I139" s="449"/>
      <c r="L139" s="164" t="s">
        <v>121</v>
      </c>
      <c r="M139">
        <f t="shared" ca="1" si="10"/>
        <v>66.25</v>
      </c>
      <c r="N139" s="19" t="s">
        <v>122</v>
      </c>
      <c r="O139" s="369">
        <f ca="1">F139</f>
        <v>122</v>
      </c>
      <c r="P139" s="450">
        <f ca="1">G139</f>
        <v>0</v>
      </c>
      <c r="Q139" s="450"/>
      <c r="R139" s="451"/>
    </row>
    <row r="140" spans="1:18" ht="19.5" customHeight="1">
      <c r="C140" s="166"/>
      <c r="D140" s="161" cm="1">
        <f t="array" aca="1" ref="D140" ca="1">IF($D147="Left of Pair",INDIRECT("'Worksheet'!$Q"&amp;$B137)/2,IF($D147="Panel",INDIRECT("'Worksheet'!$Q"&amp;$B137)))</f>
        <v>0.9</v>
      </c>
      <c r="E140" s="42" t="s">
        <v>41</v>
      </c>
      <c r="F140" s="370"/>
      <c r="G140" s="448"/>
      <c r="H140" s="448"/>
      <c r="I140" s="449"/>
      <c r="L140" s="166"/>
      <c r="M140" s="161">
        <f t="shared" ca="1" si="10"/>
        <v>0.9</v>
      </c>
      <c r="N140" s="42" t="s">
        <v>41</v>
      </c>
      <c r="O140" s="370"/>
      <c r="P140" s="450"/>
      <c r="Q140" s="452"/>
      <c r="R140" s="453"/>
    </row>
    <row r="141" spans="1:18" ht="15.75">
      <c r="C141" s="164" t="s">
        <v>135</v>
      </c>
      <c r="D141" s="19">
        <f ca="1">+IF(D145="yes",IF($D147="Left of Pair",($D142*$H145),IF($D147="Panel",$D142*$H145,IF($H147="SOR",$D142*$H145," ")))," ")</f>
        <v>65.100000000000009</v>
      </c>
      <c r="E141" s="19" t="s">
        <v>122</v>
      </c>
      <c r="F141" s="369">
        <f ca="1">IF(D145="YES",H138+12," ")</f>
        <v>119</v>
      </c>
      <c r="H141" s="343" t="s">
        <v>10</v>
      </c>
      <c r="I141" s="371" cm="1">
        <f t="array" aca="1" ref="I141" ca="1">INDIRECT("'Worksheet'!$Q"&amp;B137)</f>
        <v>1.8</v>
      </c>
      <c r="L141" s="164" t="s">
        <v>135</v>
      </c>
      <c r="M141">
        <f t="shared" ca="1" si="10"/>
        <v>65.100000000000009</v>
      </c>
      <c r="N141" s="19" t="s">
        <v>122</v>
      </c>
      <c r="O141" s="369">
        <f ca="1">F141</f>
        <v>119</v>
      </c>
      <c r="P141" s="19"/>
      <c r="Q141" s="343" t="s">
        <v>10</v>
      </c>
      <c r="R141" s="160">
        <f ca="1">I141</f>
        <v>1.8</v>
      </c>
    </row>
    <row r="142" spans="1:18">
      <c r="C142" s="167"/>
      <c r="D142" s="161" cm="1">
        <f t="array" aca="1" ref="D142" ca="1">IF(D145="yes",IF($D147="Left of Pair",INDIRECT("'Worksheet'!$S"&amp;$B137)/2,IF($D147="Panel",INDIRECT("'Worksheet'!$S"&amp;$B137)))," ")</f>
        <v>1.05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26.5</v>
      </c>
      <c r="L142" s="167"/>
      <c r="M142" s="344">
        <f t="shared" ca="1" si="10"/>
        <v>1.05</v>
      </c>
      <c r="N142" s="345" t="s">
        <v>41</v>
      </c>
      <c r="O142" s="372"/>
      <c r="P142" s="20"/>
      <c r="Q142" s="343" t="s">
        <v>116</v>
      </c>
      <c r="R142" s="32">
        <f ca="1">I142</f>
        <v>26.5</v>
      </c>
    </row>
    <row r="143" spans="1:18" ht="12.75" customHeight="1">
      <c r="C143" s="168" t="s">
        <v>114</v>
      </c>
      <c r="D143" s="373" t="str" cm="1">
        <f t="array" aca="1" ref="D143" ca="1">INDIRECT("'Worksheet'!$B"&amp;$B137)</f>
        <v>Foyers</v>
      </c>
      <c r="E143" s="22"/>
      <c r="F143" s="23"/>
      <c r="G143" s="22"/>
      <c r="H143" s="24"/>
      <c r="I143" s="445" t="str" cm="1">
        <f t="array" aca="1" ref="I143" ca="1">INDIRECT("'Worksheet'!$A"&amp;$B137)</f>
        <v>P1-11</v>
      </c>
      <c r="L143" s="168" t="s">
        <v>114</v>
      </c>
      <c r="M143" s="31" t="str">
        <f t="shared" ca="1" si="10"/>
        <v>Foyers</v>
      </c>
      <c r="N143" s="20"/>
      <c r="O143" s="33"/>
      <c r="P143" s="27"/>
      <c r="Q143" s="24"/>
      <c r="R143" s="445" t="str">
        <f ca="1">I143</f>
        <v>P1-11</v>
      </c>
    </row>
    <row r="144" spans="1:18" ht="15.75" customHeight="1">
      <c r="C144" s="164" t="s">
        <v>117</v>
      </c>
      <c r="D144" s="346" cm="1">
        <f t="array" aca="1" ref="D144" ca="1">INDIRECT("'Worksheet'!$H"&amp;$B137)</f>
        <v>3.5</v>
      </c>
      <c r="E144" s="20"/>
      <c r="F144" s="169" t="s">
        <v>118</v>
      </c>
      <c r="G144" s="35"/>
      <c r="H144" s="36" t="str">
        <f>+IF(Worksheet!$R$38=TRUE,"Yes",IF(Worksheet!$R$38=FALSE,"No"))</f>
        <v>Yes</v>
      </c>
      <c r="I144" s="446"/>
      <c r="L144" s="164" t="s">
        <v>117</v>
      </c>
      <c r="M144" s="34">
        <f t="shared" ca="1" si="10"/>
        <v>3.5</v>
      </c>
      <c r="N144" s="20"/>
      <c r="O144" s="169" t="s">
        <v>118</v>
      </c>
      <c r="P144" s="35"/>
      <c r="Q144" s="36" t="str">
        <f>H144</f>
        <v>Yes</v>
      </c>
      <c r="R144" s="446"/>
    </row>
    <row r="145" spans="1:18" ht="15.75" customHeight="1">
      <c r="C145" s="164" t="s">
        <v>119</v>
      </c>
      <c r="D145" s="37" t="str">
        <f ca="1">IF($E145&gt;0,"YES"," ")</f>
        <v>YES</v>
      </c>
      <c r="E145" s="347" t="str" cm="1">
        <f t="array" aca="1" ref="E145" ca="1">INDIRECT("'Worksheet'!$X"&amp;$B137)</f>
        <v xml:space="preserve">Flameguard </v>
      </c>
      <c r="F145" s="39"/>
      <c r="G145" s="20"/>
      <c r="H145" s="391" cm="1">
        <f t="array" aca="1" ref="H145" ca="1">INDIRECT("'Worksheet'!$R"&amp;$B137)</f>
        <v>62</v>
      </c>
      <c r="I145" s="446"/>
      <c r="J145" s="40"/>
      <c r="L145" s="164" t="s">
        <v>119</v>
      </c>
      <c r="M145" s="37" t="str">
        <f t="shared" ca="1" si="10"/>
        <v>YES</v>
      </c>
      <c r="N145" s="38" t="str">
        <f ca="1">E145</f>
        <v xml:space="preserve">Flameguard </v>
      </c>
      <c r="O145" s="39"/>
      <c r="P145" s="20"/>
      <c r="Q145" s="392">
        <f ca="1">H145</f>
        <v>62</v>
      </c>
      <c r="R145" s="446"/>
    </row>
    <row r="146" spans="1:18" ht="15.75" customHeight="1">
      <c r="C146" s="164" t="s">
        <v>13</v>
      </c>
      <c r="D146" s="347" t="str" cm="1">
        <f t="array" aca="1" ref="D146" ca="1">INDIRECT("'Worksheet'!$W"&amp;$B137)</f>
        <v>5th Avenue 72</v>
      </c>
      <c r="E146" s="22"/>
      <c r="F146" s="23"/>
      <c r="G146" s="22"/>
      <c r="H146" s="391" cm="1">
        <f t="array" aca="1" ref="H146" ca="1">INDIRECT("'Worksheet'!$P"&amp;$B137)</f>
        <v>74</v>
      </c>
      <c r="I146" s="447"/>
      <c r="L146" s="164" t="s">
        <v>13</v>
      </c>
      <c r="M146" s="21" t="str">
        <f t="shared" ca="1" si="10"/>
        <v>5th Avenue 72</v>
      </c>
      <c r="N146" s="22"/>
      <c r="O146" s="23"/>
      <c r="P146" s="22"/>
      <c r="Q146" s="392">
        <f ca="1">H146</f>
        <v>74</v>
      </c>
      <c r="R146" s="447"/>
    </row>
    <row r="147" spans="1:18" ht="23.25">
      <c r="C147" s="348" cm="1">
        <f t="array" aca="1" ref="C147" ca="1">INDIRECT("'Worksheet'!$J"&amp;$B137)</f>
        <v>0</v>
      </c>
      <c r="D147" s="444" t="str" cm="1">
        <f t="array" aca="1" ref="D147" ca="1">IF(INDIRECT("'Worksheet'!$D"&amp;$B137)=1, "Left of Pair", IF(INDIRECT("'Worksheet'!$E"&amp;$B137)=1, "Panel"))</f>
        <v>Left of Pair</v>
      </c>
      <c r="E147" s="444"/>
      <c r="F147" s="444"/>
      <c r="G147" s="374"/>
      <c r="H147" s="374" t="str" cm="1">
        <f t="array" aca="1" ref="H147" ca="1">IF(INDIRECT("'Worksheet'!$F"&amp;$B137)="st","SOR T&amp;B"," ")</f>
        <v xml:space="preserve"> </v>
      </c>
      <c r="I147" s="415">
        <f>IF(Worksheet!$D$46&gt;0,Worksheet!$D$46," ")</f>
        <v>30</v>
      </c>
      <c r="L147" s="41">
        <f ca="1">$C147</f>
        <v>0</v>
      </c>
      <c r="M147" s="444" t="str" cm="1">
        <f t="array" aca="1" ref="M147" ca="1">IF(INDIRECT("'Worksheet'!$D"&amp;$B137)=1, "Right of Pair", IF(INDIRECT("'Worksheet'!$E"&amp;$B137)=1, "Do Not Use"))</f>
        <v>Right of Pair</v>
      </c>
      <c r="N147" s="444"/>
      <c r="O147" s="444"/>
      <c r="P147" s="374"/>
      <c r="Q147" s="374"/>
      <c r="R147" s="415">
        <f>IF(Worksheet!$D$46&gt;0,Worksheet!$D$46," ")</f>
        <v>30</v>
      </c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+Worksheet!$W$4</f>
        <v>Windcrest WO#J5121027-00234.01</v>
      </c>
      <c r="E151" s="22"/>
      <c r="F151" s="23"/>
      <c r="G151" s="22"/>
      <c r="H151" s="24"/>
      <c r="I151" s="25">
        <f>+Worksheet!$AR$1</f>
        <v>0</v>
      </c>
      <c r="J151" s="26"/>
      <c r="L151" s="164" t="s">
        <v>113</v>
      </c>
      <c r="M151" s="21" t="str">
        <f>+Worksheet!$W$4</f>
        <v>Windcrest WO#J5121027-00234.01</v>
      </c>
      <c r="N151" s="22"/>
      <c r="O151" s="23"/>
      <c r="P151" s="22"/>
      <c r="Q151" s="24"/>
      <c r="R151" s="25">
        <f>+Worksheet!$AR$1</f>
        <v>0</v>
      </c>
    </row>
    <row r="152" spans="1:18" ht="32.25">
      <c r="C152" s="165" t="s">
        <v>128</v>
      </c>
      <c r="D152" s="150" cm="1">
        <f t="array" aca="1" ref="D152" ca="1">INDIRECT("'Worksheet'!$K"&amp;$B151)</f>
        <v>40</v>
      </c>
      <c r="E152" s="151" t="s">
        <v>115</v>
      </c>
      <c r="F152" s="150" cm="1">
        <f t="array" aca="1" ref="F152" ca="1">INDIRECT("'Worksheet'!$M"&amp;$B151)</f>
        <v>13</v>
      </c>
      <c r="G152" s="151" t="s">
        <v>122</v>
      </c>
      <c r="H152" s="150" cm="1">
        <f t="array" aca="1" ref="H152" ca="1">INDIRECT("'Worksheet'!$O"&amp;$B151)</f>
        <v>107</v>
      </c>
      <c r="I152" s="29" t="str">
        <f>+IF(Worksheet!$R$34=1,"Install",IF(Worksheet!$R$34=2,"Ship",IF(Worksheet!$R$34=3,"Deliver",IF(Worksheet!$R$34=4,"Will Call"))))</f>
        <v>Install</v>
      </c>
      <c r="J152" s="30"/>
      <c r="L152" s="165" t="s">
        <v>128</v>
      </c>
      <c r="M152" s="150">
        <f t="shared" ref="M152:M160" ca="1" si="11">D152</f>
        <v>40</v>
      </c>
      <c r="N152" s="151" t="s">
        <v>115</v>
      </c>
      <c r="O152" s="152">
        <f ca="1">F152</f>
        <v>13</v>
      </c>
      <c r="P152" s="151" t="s">
        <v>122</v>
      </c>
      <c r="Q152" s="153">
        <f ca="1">H152</f>
        <v>107</v>
      </c>
      <c r="R152" s="29" t="str">
        <f>+IF(Worksheet!$R$34=1,"Install",IF(Worksheet!$R$34=2,"Ship",IF(Worksheet!$R$34=3,"Deliver",IF(Worksheet!$R$34=4,"Will Call"))))</f>
        <v>Install</v>
      </c>
    </row>
    <row r="153" spans="1:18" ht="12.75" customHeight="1">
      <c r="C153" s="164" t="s">
        <v>121</v>
      </c>
      <c r="D153" s="19">
        <f ca="1">+IF($D161="Left of Pair",((D152+F152)*Worksheet!$AE$7)/2,IF($D161="Panel",(D152+F152)*Worksheet!$AE$7,IF($H161="SOR",D152*2.5+6,IF($H161="SOR T&amp;B",D152*2.5+6))))</f>
        <v>66.25</v>
      </c>
      <c r="E153" s="19" t="s">
        <v>122</v>
      </c>
      <c r="F153" s="369">
        <f ca="1">H152+15</f>
        <v>122</v>
      </c>
      <c r="G153" s="448" cm="1">
        <f t="array" aca="1" ref="G153" ca="1">INDIRECT("'Worksheet'!$Y"&amp;$B151)</f>
        <v>0</v>
      </c>
      <c r="H153" s="448"/>
      <c r="I153" s="449"/>
      <c r="L153" s="164" t="s">
        <v>121</v>
      </c>
      <c r="M153">
        <f t="shared" ca="1" si="11"/>
        <v>66.25</v>
      </c>
      <c r="N153" s="19" t="s">
        <v>122</v>
      </c>
      <c r="O153" s="369">
        <f ca="1">F153</f>
        <v>122</v>
      </c>
      <c r="P153" s="450">
        <f ca="1">G153</f>
        <v>0</v>
      </c>
      <c r="Q153" s="450"/>
      <c r="R153" s="451"/>
    </row>
    <row r="154" spans="1:18" ht="19.5" customHeight="1">
      <c r="C154" s="166"/>
      <c r="D154" s="161" cm="1">
        <f t="array" aca="1" ref="D154" ca="1">IF($D161="Left of Pair",INDIRECT("'Worksheet'!$Q"&amp;$B151)/2,IF($D161="Panel",INDIRECT("'Worksheet'!$Q"&amp;$B151)))</f>
        <v>0.9</v>
      </c>
      <c r="E154" s="42" t="s">
        <v>41</v>
      </c>
      <c r="F154" s="370"/>
      <c r="G154" s="448"/>
      <c r="H154" s="448"/>
      <c r="I154" s="449"/>
      <c r="L154" s="166"/>
      <c r="M154" s="161">
        <f t="shared" ca="1" si="11"/>
        <v>0.9</v>
      </c>
      <c r="N154" s="42" t="s">
        <v>41</v>
      </c>
      <c r="O154" s="370"/>
      <c r="P154" s="450"/>
      <c r="Q154" s="452"/>
      <c r="R154" s="453"/>
    </row>
    <row r="155" spans="1:18" ht="15.75">
      <c r="C155" s="164" t="s">
        <v>135</v>
      </c>
      <c r="D155" s="19">
        <f ca="1">+IF(D159="yes",IF($D161="Left of Pair",($D156*$H159),IF($D161="Panel",$D156*$H159,IF($H161="SOR",$D156*$H159," ")))," ")</f>
        <v>65.100000000000009</v>
      </c>
      <c r="E155" s="19" t="s">
        <v>122</v>
      </c>
      <c r="F155" s="369">
        <f ca="1">IF(D159="YES",H152+12," ")</f>
        <v>119</v>
      </c>
      <c r="H155" s="343" t="s">
        <v>10</v>
      </c>
      <c r="I155" s="371" cm="1">
        <f t="array" aca="1" ref="I155" ca="1">INDIRECT("'Worksheet'!$Q"&amp;B151)</f>
        <v>1.8</v>
      </c>
      <c r="L155" s="164" t="s">
        <v>135</v>
      </c>
      <c r="M155">
        <f t="shared" ca="1" si="11"/>
        <v>65.100000000000009</v>
      </c>
      <c r="N155" s="19" t="s">
        <v>122</v>
      </c>
      <c r="O155" s="369">
        <f ca="1">F155</f>
        <v>119</v>
      </c>
      <c r="P155" s="19"/>
      <c r="Q155" s="343" t="s">
        <v>10</v>
      </c>
      <c r="R155" s="160">
        <f ca="1">I155</f>
        <v>1.8</v>
      </c>
    </row>
    <row r="156" spans="1:18">
      <c r="C156" s="167"/>
      <c r="D156" s="161" cm="1">
        <f t="array" aca="1" ref="D156" ca="1">IF(D159="yes",IF($D161="Left of Pair",INDIRECT("'Worksheet'!$S"&amp;$B151)/2,IF($D161="Panel",INDIRECT("'Worksheet'!$S"&amp;$B151)))," ")</f>
        <v>1.05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26.5</v>
      </c>
      <c r="L156" s="167"/>
      <c r="M156" s="344">
        <f t="shared" ca="1" si="11"/>
        <v>1.05</v>
      </c>
      <c r="N156" s="345" t="s">
        <v>41</v>
      </c>
      <c r="O156" s="372"/>
      <c r="P156" s="20"/>
      <c r="Q156" s="343" t="s">
        <v>116</v>
      </c>
      <c r="R156" s="32">
        <f ca="1">I156</f>
        <v>26.5</v>
      </c>
    </row>
    <row r="157" spans="1:18" ht="12.75" customHeight="1">
      <c r="C157" s="168" t="s">
        <v>114</v>
      </c>
      <c r="D157" s="373" t="str" cm="1">
        <f t="array" aca="1" ref="D157" ca="1">INDIRECT("'Worksheet'!$B"&amp;$B151)</f>
        <v>Foyers</v>
      </c>
      <c r="E157" s="22"/>
      <c r="F157" s="23"/>
      <c r="G157" s="22"/>
      <c r="H157" s="24"/>
      <c r="I157" s="445" t="str" cm="1">
        <f t="array" aca="1" ref="I157" ca="1">INDIRECT("'Worksheet'!$A"&amp;$B151)</f>
        <v>P1-12</v>
      </c>
      <c r="L157" s="168" t="s">
        <v>114</v>
      </c>
      <c r="M157" s="31" t="str">
        <f t="shared" ca="1" si="11"/>
        <v>Foyers</v>
      </c>
      <c r="N157" s="20"/>
      <c r="O157" s="33"/>
      <c r="P157" s="27"/>
      <c r="Q157" s="24"/>
      <c r="R157" s="445" t="str">
        <f ca="1">I157</f>
        <v>P1-12</v>
      </c>
    </row>
    <row r="158" spans="1:18" ht="15.75" customHeight="1">
      <c r="C158" s="164" t="s">
        <v>117</v>
      </c>
      <c r="D158" s="346" cm="1">
        <f t="array" aca="1" ref="D158" ca="1">INDIRECT("'Worksheet'!$H"&amp;$B151)</f>
        <v>3.5</v>
      </c>
      <c r="E158" s="20"/>
      <c r="F158" s="169" t="s">
        <v>118</v>
      </c>
      <c r="G158" s="35"/>
      <c r="H158" s="36" t="str">
        <f>+IF(Worksheet!$R$38=TRUE,"Yes",IF(Worksheet!$R$38=FALSE,"No"))</f>
        <v>Yes</v>
      </c>
      <c r="I158" s="446"/>
      <c r="L158" s="164" t="s">
        <v>117</v>
      </c>
      <c r="M158" s="34">
        <f t="shared" ca="1" si="11"/>
        <v>3.5</v>
      </c>
      <c r="N158" s="20"/>
      <c r="O158" s="169" t="s">
        <v>118</v>
      </c>
      <c r="P158" s="35"/>
      <c r="Q158" s="36" t="str">
        <f>H158</f>
        <v>Yes</v>
      </c>
      <c r="R158" s="446"/>
    </row>
    <row r="159" spans="1:18" ht="15.75" customHeight="1">
      <c r="C159" s="164" t="s">
        <v>119</v>
      </c>
      <c r="D159" s="37" t="str">
        <f ca="1">IF($E159&gt;0,"YES"," ")</f>
        <v>YES</v>
      </c>
      <c r="E159" s="347" t="str" cm="1">
        <f t="array" aca="1" ref="E159" ca="1">INDIRECT("'Worksheet'!$X"&amp;$B151)</f>
        <v xml:space="preserve">Flameguard </v>
      </c>
      <c r="F159" s="39"/>
      <c r="G159" s="20"/>
      <c r="H159" s="391" cm="1">
        <f t="array" aca="1" ref="H159" ca="1">INDIRECT("'Worksheet'!$R"&amp;$B151)</f>
        <v>62</v>
      </c>
      <c r="I159" s="446"/>
      <c r="J159" s="40"/>
      <c r="L159" s="164" t="s">
        <v>119</v>
      </c>
      <c r="M159" s="37" t="str">
        <f t="shared" ca="1" si="11"/>
        <v>YES</v>
      </c>
      <c r="N159" s="38" t="str">
        <f ca="1">E159</f>
        <v xml:space="preserve">Flameguard </v>
      </c>
      <c r="O159" s="39"/>
      <c r="P159" s="20"/>
      <c r="Q159" s="392">
        <f ca="1">H159</f>
        <v>62</v>
      </c>
      <c r="R159" s="446"/>
    </row>
    <row r="160" spans="1:18" ht="15.75" customHeight="1">
      <c r="C160" s="164" t="s">
        <v>13</v>
      </c>
      <c r="D160" s="347" t="str" cm="1">
        <f t="array" aca="1" ref="D160" ca="1">INDIRECT("'Worksheet'!$W"&amp;$B151)</f>
        <v>5th Avenue 72</v>
      </c>
      <c r="E160" s="22"/>
      <c r="F160" s="23"/>
      <c r="G160" s="22"/>
      <c r="H160" s="391" cm="1">
        <f t="array" aca="1" ref="H160" ca="1">INDIRECT("'Worksheet'!$P"&amp;$B151)</f>
        <v>74</v>
      </c>
      <c r="I160" s="447"/>
      <c r="L160" s="164" t="s">
        <v>13</v>
      </c>
      <c r="M160" s="21" t="str">
        <f t="shared" ca="1" si="11"/>
        <v>5th Avenue 72</v>
      </c>
      <c r="N160" s="22"/>
      <c r="O160" s="23"/>
      <c r="P160" s="22"/>
      <c r="Q160" s="392">
        <f ca="1">H160</f>
        <v>74</v>
      </c>
      <c r="R160" s="447"/>
    </row>
    <row r="161" spans="1:18" ht="23.25">
      <c r="C161" s="348" cm="1">
        <f t="array" aca="1" ref="C161" ca="1">INDIRECT("'Worksheet'!$J"&amp;$B151)</f>
        <v>0</v>
      </c>
      <c r="D161" s="444" t="str" cm="1">
        <f t="array" aca="1" ref="D161" ca="1">IF(INDIRECT("'Worksheet'!$D"&amp;$B151)=1, "Left of Pair", IF(INDIRECT("'Worksheet'!$E"&amp;$B151)=1, "Panel"))</f>
        <v>Left of Pair</v>
      </c>
      <c r="E161" s="444"/>
      <c r="F161" s="444"/>
      <c r="G161" s="374"/>
      <c r="H161" s="374" t="str" cm="1">
        <f t="array" aca="1" ref="H161" ca="1">IF(INDIRECT("'Worksheet'!$F"&amp;$B151)="st","SOR T&amp;B"," ")</f>
        <v xml:space="preserve"> </v>
      </c>
      <c r="I161" s="415">
        <f>IF(Worksheet!$D$46&gt;0,Worksheet!$D$46," ")</f>
        <v>30</v>
      </c>
      <c r="L161" s="41">
        <f ca="1">$C161</f>
        <v>0</v>
      </c>
      <c r="M161" s="444" t="str" cm="1">
        <f t="array" aca="1" ref="M161" ca="1">IF(INDIRECT("'Worksheet'!$D"&amp;$B151)=1, "Right of Pair", IF(INDIRECT("'Worksheet'!$E"&amp;$B151)=1, "Do Not Use"))</f>
        <v>Right of Pair</v>
      </c>
      <c r="N161" s="444"/>
      <c r="O161" s="444"/>
      <c r="P161" s="374"/>
      <c r="Q161" s="374"/>
      <c r="R161" s="415">
        <f>IF(Worksheet!$D$46&gt;0,Worksheet!$D$46," ")</f>
        <v>30</v>
      </c>
    </row>
    <row r="163" spans="1:18" ht="19.5">
      <c r="A163" t="s">
        <v>36</v>
      </c>
      <c r="B163">
        <v>23</v>
      </c>
      <c r="C163" s="164" t="s">
        <v>113</v>
      </c>
      <c r="D163" s="21" t="str">
        <f>+Worksheet!$W$4</f>
        <v>Windcrest WO#J5121027-00234.01</v>
      </c>
      <c r="E163" s="22"/>
      <c r="F163" s="23"/>
      <c r="G163" s="22"/>
      <c r="H163" s="24"/>
      <c r="I163" s="25">
        <f>+Worksheet!$AR$1</f>
        <v>0</v>
      </c>
      <c r="J163" s="26"/>
      <c r="L163" s="164" t="s">
        <v>113</v>
      </c>
      <c r="M163" s="21" t="str">
        <f>+Worksheet!$W$4</f>
        <v>Windcrest WO#J5121027-00234.01</v>
      </c>
      <c r="N163" s="22"/>
      <c r="O163" s="23"/>
      <c r="P163" s="22"/>
      <c r="Q163" s="24"/>
      <c r="R163" s="25">
        <f>+Worksheet!$AR$1</f>
        <v>0</v>
      </c>
    </row>
    <row r="164" spans="1:18" ht="32.25">
      <c r="C164" s="165" t="s">
        <v>128</v>
      </c>
      <c r="D164" s="150" cm="1">
        <f t="array" aca="1" ref="D164" ca="1">INDIRECT("'Worksheet'!$K"&amp;$B163)</f>
        <v>40</v>
      </c>
      <c r="E164" s="151" t="s">
        <v>115</v>
      </c>
      <c r="F164" s="150" cm="1">
        <f t="array" aca="1" ref="F164" ca="1">INDIRECT("'Worksheet'!$M"&amp;$B163)</f>
        <v>13.6</v>
      </c>
      <c r="G164" s="151" t="s">
        <v>122</v>
      </c>
      <c r="H164" s="150" cm="1">
        <f t="array" aca="1" ref="H164" ca="1">INDIRECT("'Worksheet'!$O"&amp;$B163)</f>
        <v>238</v>
      </c>
      <c r="I164" s="29" t="str">
        <f>+IF(Worksheet!$R$34=1,"Install",IF(Worksheet!$R$34=2,"Ship",IF(Worksheet!$R$34=3,"Deliver",IF(Worksheet!$R$34=4,"Will Call"))))</f>
        <v>Install</v>
      </c>
      <c r="J164" s="30"/>
      <c r="L164" s="165" t="s">
        <v>128</v>
      </c>
      <c r="M164" s="150">
        <f t="shared" ref="M164:M172" ca="1" si="12">D164</f>
        <v>40</v>
      </c>
      <c r="N164" s="151" t="s">
        <v>115</v>
      </c>
      <c r="O164" s="152">
        <f ca="1">F164</f>
        <v>13.6</v>
      </c>
      <c r="P164" s="151" t="s">
        <v>122</v>
      </c>
      <c r="Q164" s="153">
        <f ca="1">H164</f>
        <v>238</v>
      </c>
      <c r="R164" s="29" t="str">
        <f>+IF(Worksheet!$R$34=1,"Install",IF(Worksheet!$R$34=2,"Ship",IF(Worksheet!$R$34=3,"Deliver",IF(Worksheet!$R$34=4,"Will Call"))))</f>
        <v>Install</v>
      </c>
    </row>
    <row r="165" spans="1:18" ht="12.75" customHeight="1">
      <c r="C165" s="164" t="s">
        <v>121</v>
      </c>
      <c r="D165" s="19">
        <f ca="1">+IF($D173="Left of Pair",((D164+F164)*Worksheet!$AE$7)/2,IF($D173="Panel",(D164+F164)*Worksheet!$AE$7,IF($H173="SOR",D164*2.5+6,IF($H173="SOR T&amp;B",D164*2.5+6))))</f>
        <v>67</v>
      </c>
      <c r="E165" s="19" t="s">
        <v>122</v>
      </c>
      <c r="F165" s="369">
        <f ca="1">H164+15</f>
        <v>253</v>
      </c>
      <c r="G165" s="448" cm="1">
        <f t="array" aca="1" ref="G165" ca="1">INDIRECT("'Worksheet'!$Y"&amp;$B163)</f>
        <v>0</v>
      </c>
      <c r="H165" s="448"/>
      <c r="I165" s="449"/>
      <c r="L165" s="164" t="s">
        <v>121</v>
      </c>
      <c r="M165">
        <f t="shared" ca="1" si="12"/>
        <v>67</v>
      </c>
      <c r="N165" s="19" t="s">
        <v>122</v>
      </c>
      <c r="O165" s="369">
        <f ca="1">F165</f>
        <v>253</v>
      </c>
      <c r="P165" s="450">
        <f ca="1">G165</f>
        <v>0</v>
      </c>
      <c r="Q165" s="450"/>
      <c r="R165" s="451"/>
    </row>
    <row r="166" spans="1:18" ht="19.5" customHeight="1">
      <c r="C166" s="166"/>
      <c r="D166" s="161" cm="1">
        <f t="array" aca="1" ref="D166" ca="1">IF($D173="Left of Pair",INDIRECT("'Worksheet'!$Q"&amp;$B163)/2,IF($D173="Panel",INDIRECT("'Worksheet'!$Q"&amp;$B163)))</f>
        <v>0.92500000000000004</v>
      </c>
      <c r="E166" s="42" t="s">
        <v>41</v>
      </c>
      <c r="F166" s="370"/>
      <c r="G166" s="448"/>
      <c r="H166" s="448"/>
      <c r="I166" s="449"/>
      <c r="L166" s="166"/>
      <c r="M166" s="161">
        <f t="shared" ca="1" si="12"/>
        <v>0.92500000000000004</v>
      </c>
      <c r="N166" s="42" t="s">
        <v>41</v>
      </c>
      <c r="O166" s="370"/>
      <c r="P166" s="450"/>
      <c r="Q166" s="452"/>
      <c r="R166" s="453"/>
    </row>
    <row r="167" spans="1:18" ht="15.75">
      <c r="C167" s="164" t="s">
        <v>135</v>
      </c>
      <c r="D167" s="19">
        <f ca="1">+IF(D171="yes",IF($D173="Left of Pair",($D168*$H171),IF($D173="Panel",$D168*$H171,IF($H173="SOR",$D168*$H171," ")))," ")</f>
        <v>65.100000000000009</v>
      </c>
      <c r="E167" s="19" t="s">
        <v>122</v>
      </c>
      <c r="F167" s="369">
        <f ca="1">IF(D171="YES",H164+12," ")</f>
        <v>250</v>
      </c>
      <c r="H167" s="343" t="s">
        <v>10</v>
      </c>
      <c r="I167" s="371" cm="1">
        <f t="array" aca="1" ref="I167" ca="1">INDIRECT("'Worksheet'!$Q"&amp;B163)</f>
        <v>1.85</v>
      </c>
      <c r="L167" s="164" t="s">
        <v>135</v>
      </c>
      <c r="M167">
        <f t="shared" ca="1" si="12"/>
        <v>65.100000000000009</v>
      </c>
      <c r="N167" s="19" t="s">
        <v>122</v>
      </c>
      <c r="O167" s="369">
        <f ca="1">F167</f>
        <v>250</v>
      </c>
      <c r="P167" s="19"/>
      <c r="Q167" s="343" t="s">
        <v>10</v>
      </c>
      <c r="R167" s="160">
        <f ca="1">I167</f>
        <v>1.85</v>
      </c>
    </row>
    <row r="168" spans="1:18">
      <c r="C168" s="167"/>
      <c r="D168" s="161" cm="1">
        <f t="array" aca="1" ref="D168" ca="1">IF(D171="yes",IF($D173="Left of Pair",INDIRECT("'Worksheet'!$S"&amp;$B163)/2,IF($D173="Panel",INDIRECT("'Worksheet'!$S"&amp;$B163)))," ")</f>
        <v>1.05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26.8</v>
      </c>
      <c r="L168" s="167"/>
      <c r="M168" s="344">
        <f t="shared" ca="1" si="12"/>
        <v>1.05</v>
      </c>
      <c r="N168" s="345" t="s">
        <v>41</v>
      </c>
      <c r="O168" s="372"/>
      <c r="P168" s="20"/>
      <c r="Q168" s="343" t="s">
        <v>116</v>
      </c>
      <c r="R168" s="32">
        <f ca="1">I168</f>
        <v>26.8</v>
      </c>
    </row>
    <row r="169" spans="1:18" ht="12.75" customHeight="1">
      <c r="C169" s="168" t="s">
        <v>114</v>
      </c>
      <c r="D169" s="373" t="str" cm="1">
        <f t="array" aca="1" ref="D169" ca="1">INDIRECT("'Worksheet'!$B"&amp;$B163)</f>
        <v>Chapel</v>
      </c>
      <c r="E169" s="22"/>
      <c r="F169" s="23"/>
      <c r="G169" s="22"/>
      <c r="H169" s="24"/>
      <c r="I169" s="445" t="str" cm="1">
        <f t="array" aca="1" ref="I169" ca="1">INDIRECT("'Worksheet'!$A"&amp;$B163)</f>
        <v>P1-13</v>
      </c>
      <c r="L169" s="168" t="s">
        <v>114</v>
      </c>
      <c r="M169" s="31" t="str">
        <f t="shared" ca="1" si="12"/>
        <v>Chapel</v>
      </c>
      <c r="N169" s="20"/>
      <c r="O169" s="33"/>
      <c r="P169" s="27"/>
      <c r="Q169" s="24"/>
      <c r="R169" s="445" t="str">
        <f ca="1">I169</f>
        <v>P1-13</v>
      </c>
    </row>
    <row r="170" spans="1:18" ht="15.75" customHeight="1">
      <c r="C170" s="164" t="s">
        <v>117</v>
      </c>
      <c r="D170" s="346" cm="1">
        <f t="array" aca="1" ref="D170" ca="1">INDIRECT("'Worksheet'!$H"&amp;$B163)</f>
        <v>3.8</v>
      </c>
      <c r="E170" s="20"/>
      <c r="F170" s="169" t="s">
        <v>118</v>
      </c>
      <c r="G170" s="35"/>
      <c r="H170" s="36" t="str">
        <f>+IF(Worksheet!$R$38=TRUE,"Yes",IF(Worksheet!$R$38=FALSE,"No"))</f>
        <v>Yes</v>
      </c>
      <c r="I170" s="446"/>
      <c r="L170" s="164" t="s">
        <v>117</v>
      </c>
      <c r="M170" s="34">
        <f t="shared" ca="1" si="12"/>
        <v>3.8</v>
      </c>
      <c r="N170" s="20"/>
      <c r="O170" s="169" t="s">
        <v>118</v>
      </c>
      <c r="P170" s="35"/>
      <c r="Q170" s="36" t="str">
        <f>H170</f>
        <v>Yes</v>
      </c>
      <c r="R170" s="446"/>
    </row>
    <row r="171" spans="1:18" ht="15.75" customHeight="1">
      <c r="C171" s="164" t="s">
        <v>119</v>
      </c>
      <c r="D171" s="37" t="str">
        <f ca="1">IF($E171&gt;0,"YES"," ")</f>
        <v>YES</v>
      </c>
      <c r="E171" s="347" t="str" cm="1">
        <f t="array" aca="1" ref="E171" ca="1">INDIRECT("'Worksheet'!$X"&amp;$B163)</f>
        <v xml:space="preserve">Flameguard </v>
      </c>
      <c r="F171" s="39"/>
      <c r="G171" s="20"/>
      <c r="H171" s="391" cm="1">
        <f t="array" aca="1" ref="H171" ca="1">INDIRECT("'Worksheet'!$R"&amp;$B163)</f>
        <v>62</v>
      </c>
      <c r="I171" s="446"/>
      <c r="J171" s="40"/>
      <c r="L171" s="164" t="s">
        <v>119</v>
      </c>
      <c r="M171" s="37" t="str">
        <f t="shared" ca="1" si="12"/>
        <v>YES</v>
      </c>
      <c r="N171" s="38" t="str">
        <f ca="1">E171</f>
        <v xml:space="preserve">Flameguard </v>
      </c>
      <c r="O171" s="39"/>
      <c r="P171" s="20"/>
      <c r="Q171" s="392">
        <f ca="1">H171</f>
        <v>62</v>
      </c>
      <c r="R171" s="446"/>
    </row>
    <row r="172" spans="1:18" ht="15.75" customHeight="1">
      <c r="C172" s="164" t="s">
        <v>13</v>
      </c>
      <c r="D172" s="347" t="str" cm="1">
        <f t="array" aca="1" ref="D172" ca="1">INDIRECT("'Worksheet'!$W"&amp;$B163)</f>
        <v>5th Avenue 72</v>
      </c>
      <c r="E172" s="22"/>
      <c r="F172" s="23"/>
      <c r="G172" s="22"/>
      <c r="H172" s="391" cm="1">
        <f t="array" aca="1" ref="H172" ca="1">INDIRECT("'Worksheet'!$P"&amp;$B163)</f>
        <v>74</v>
      </c>
      <c r="I172" s="447"/>
      <c r="L172" s="164" t="s">
        <v>13</v>
      </c>
      <c r="M172" s="21" t="str">
        <f t="shared" ca="1" si="12"/>
        <v>5th Avenue 72</v>
      </c>
      <c r="N172" s="22"/>
      <c r="O172" s="23"/>
      <c r="P172" s="22"/>
      <c r="Q172" s="392">
        <f ca="1">H172</f>
        <v>74</v>
      </c>
      <c r="R172" s="447"/>
    </row>
    <row r="173" spans="1:18" ht="23.25">
      <c r="C173" s="348" cm="1">
        <f t="array" aca="1" ref="C173" ca="1">INDIRECT("'Worksheet'!$J"&amp;$B163)</f>
        <v>0</v>
      </c>
      <c r="D173" s="444" t="str" cm="1">
        <f t="array" aca="1" ref="D173" ca="1">IF(INDIRECT("'Worksheet'!$D"&amp;$B163)=1, "Left of Pair", IF(INDIRECT("'Worksheet'!$E"&amp;$B163)=1, "Panel"))</f>
        <v>Left of Pair</v>
      </c>
      <c r="E173" s="444"/>
      <c r="F173" s="444"/>
      <c r="G173" s="374"/>
      <c r="H173" s="374" t="str" cm="1">
        <f t="array" aca="1" ref="H173" ca="1">IF(INDIRECT("'Worksheet'!$F"&amp;$B163)="st","SOR T&amp;B"," ")</f>
        <v xml:space="preserve"> </v>
      </c>
      <c r="I173" s="415">
        <f>IF(Worksheet!$D$46&gt;0,Worksheet!$D$46," ")</f>
        <v>30</v>
      </c>
      <c r="L173" s="41">
        <f ca="1">$C173</f>
        <v>0</v>
      </c>
      <c r="M173" s="444" t="str" cm="1">
        <f t="array" aca="1" ref="M173" ca="1">IF(INDIRECT("'Worksheet'!$D"&amp;$B163)=1, "Right of Pair", IF(INDIRECT("'Worksheet'!$E"&amp;$B163)=1, "Do Not Use"))</f>
        <v>Right of Pair</v>
      </c>
      <c r="N173" s="444"/>
      <c r="O173" s="444"/>
      <c r="P173" s="374"/>
      <c r="Q173" s="374"/>
      <c r="R173" s="415">
        <f>IF(Worksheet!$D$46&gt;0,Worksheet!$D$46," ")</f>
        <v>30</v>
      </c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+Worksheet!$W$4</f>
        <v>Windcrest WO#J5121027-00234.01</v>
      </c>
      <c r="E177" s="22"/>
      <c r="F177" s="23"/>
      <c r="G177" s="22"/>
      <c r="H177" s="24"/>
      <c r="I177" s="25">
        <f>+Worksheet!$AR$1</f>
        <v>0</v>
      </c>
      <c r="J177" s="26"/>
      <c r="L177" s="164" t="s">
        <v>113</v>
      </c>
      <c r="M177" s="21" t="str">
        <f>+Worksheet!$W$4</f>
        <v>Windcrest WO#J5121027-00234.01</v>
      </c>
      <c r="N177" s="22"/>
      <c r="O177" s="23"/>
      <c r="P177" s="22"/>
      <c r="Q177" s="24"/>
      <c r="R177" s="25">
        <f>+Worksheet!$AR$1</f>
        <v>0</v>
      </c>
    </row>
    <row r="178" spans="1:18" ht="32.25">
      <c r="C178" s="165" t="s">
        <v>128</v>
      </c>
      <c r="D178" s="150" cm="1">
        <f t="array" aca="1" ref="D178" ca="1">INDIRECT("'Worksheet'!$K"&amp;$B177)</f>
        <v>40</v>
      </c>
      <c r="E178" s="151" t="s">
        <v>115</v>
      </c>
      <c r="F178" s="150" cm="1">
        <f t="array" aca="1" ref="F178" ca="1">INDIRECT("'Worksheet'!$M"&amp;$B177)</f>
        <v>13.6</v>
      </c>
      <c r="G178" s="151" t="s">
        <v>122</v>
      </c>
      <c r="H178" s="150" cm="1">
        <f t="array" aca="1" ref="H178" ca="1">INDIRECT("'Worksheet'!$O"&amp;$B177)</f>
        <v>238</v>
      </c>
      <c r="I178" s="29" t="str">
        <f>+IF(Worksheet!$R$34=1,"Install",IF(Worksheet!$R$34=2,"Ship",IF(Worksheet!$R$34=3,"Deliver",IF(Worksheet!$R$34=4,"Will Call"))))</f>
        <v>Install</v>
      </c>
      <c r="J178" s="30"/>
      <c r="L178" s="165" t="s">
        <v>128</v>
      </c>
      <c r="M178" s="150">
        <f t="shared" ref="M178:M186" ca="1" si="13">D178</f>
        <v>40</v>
      </c>
      <c r="N178" s="151" t="s">
        <v>115</v>
      </c>
      <c r="O178" s="152">
        <f ca="1">F178</f>
        <v>13.6</v>
      </c>
      <c r="P178" s="151" t="s">
        <v>122</v>
      </c>
      <c r="Q178" s="153">
        <f ca="1">H178</f>
        <v>238</v>
      </c>
      <c r="R178" s="29" t="str">
        <f>+IF(Worksheet!$R$34=1,"Install",IF(Worksheet!$R$34=2,"Ship",IF(Worksheet!$R$34=3,"Deliver",IF(Worksheet!$R$34=4,"Will Call"))))</f>
        <v>Install</v>
      </c>
    </row>
    <row r="179" spans="1:18" ht="12.75" customHeight="1">
      <c r="C179" s="164" t="s">
        <v>121</v>
      </c>
      <c r="D179" s="19">
        <f ca="1">+IF($D187="Left of Pair",((D178+F178)*Worksheet!$AE$7)/2,IF($D187="Panel",(D178+F178)*Worksheet!$AE$7,IF($H187="SOR",D178*2.5+6,IF($H187="SOR T&amp;B",D178*2.5+6))))</f>
        <v>67</v>
      </c>
      <c r="E179" s="19" t="s">
        <v>122</v>
      </c>
      <c r="F179" s="369">
        <f ca="1">H178+15</f>
        <v>253</v>
      </c>
      <c r="G179" s="448" cm="1">
        <f t="array" aca="1" ref="G179" ca="1">INDIRECT("'Worksheet'!$Y"&amp;$B177)</f>
        <v>0</v>
      </c>
      <c r="H179" s="448"/>
      <c r="I179" s="449"/>
      <c r="L179" s="164" t="s">
        <v>121</v>
      </c>
      <c r="M179">
        <f t="shared" ca="1" si="13"/>
        <v>67</v>
      </c>
      <c r="N179" s="19" t="s">
        <v>122</v>
      </c>
      <c r="O179" s="369">
        <f ca="1">F179</f>
        <v>253</v>
      </c>
      <c r="P179" s="450">
        <f ca="1">G179</f>
        <v>0</v>
      </c>
      <c r="Q179" s="450"/>
      <c r="R179" s="451"/>
    </row>
    <row r="180" spans="1:18" ht="19.5" customHeight="1">
      <c r="C180" s="166"/>
      <c r="D180" s="161" cm="1">
        <f t="array" aca="1" ref="D180" ca="1">IF($D187="Left of Pair",INDIRECT("'Worksheet'!$Q"&amp;$B177)/2,IF($D187="Panel",INDIRECT("'Worksheet'!$Q"&amp;$B177)))</f>
        <v>0.92500000000000004</v>
      </c>
      <c r="E180" s="42" t="s">
        <v>41</v>
      </c>
      <c r="F180" s="370"/>
      <c r="G180" s="448"/>
      <c r="H180" s="448"/>
      <c r="I180" s="449"/>
      <c r="L180" s="166"/>
      <c r="M180" s="161">
        <f t="shared" ca="1" si="13"/>
        <v>0.92500000000000004</v>
      </c>
      <c r="N180" s="42" t="s">
        <v>41</v>
      </c>
      <c r="O180" s="370"/>
      <c r="P180" s="450"/>
      <c r="Q180" s="452"/>
      <c r="R180" s="453"/>
    </row>
    <row r="181" spans="1:18" ht="15.75">
      <c r="C181" s="164" t="s">
        <v>135</v>
      </c>
      <c r="D181" s="19">
        <f ca="1">+IF(D185="yes",IF($D187="Left of Pair",($D182*$H185),IF($D187="Panel",$D182*$H185,IF($H187="SOR",$D182*$H185," ")))," ")</f>
        <v>65.100000000000009</v>
      </c>
      <c r="E181" s="19" t="s">
        <v>122</v>
      </c>
      <c r="F181" s="369">
        <f ca="1">IF(D185="YES",H178+12," ")</f>
        <v>250</v>
      </c>
      <c r="H181" s="343" t="s">
        <v>10</v>
      </c>
      <c r="I181" s="371" cm="1">
        <f t="array" aca="1" ref="I181" ca="1">INDIRECT("'Worksheet'!$Q"&amp;B177)</f>
        <v>1.85</v>
      </c>
      <c r="L181" s="164" t="s">
        <v>135</v>
      </c>
      <c r="M181">
        <f t="shared" ca="1" si="13"/>
        <v>65.100000000000009</v>
      </c>
      <c r="N181" s="19" t="s">
        <v>122</v>
      </c>
      <c r="O181" s="369">
        <f ca="1">F181</f>
        <v>250</v>
      </c>
      <c r="P181" s="19"/>
      <c r="Q181" s="343" t="s">
        <v>10</v>
      </c>
      <c r="R181" s="160">
        <f ca="1">I181</f>
        <v>1.85</v>
      </c>
    </row>
    <row r="182" spans="1:18">
      <c r="C182" s="167"/>
      <c r="D182" s="161" cm="1">
        <f t="array" aca="1" ref="D182" ca="1">IF(D185="yes",IF($D187="Left of Pair",INDIRECT("'Worksheet'!$S"&amp;$B177)/2,IF($D187="Panel",INDIRECT("'Worksheet'!$S"&amp;$B177)))," ")</f>
        <v>1.05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26.8</v>
      </c>
      <c r="L182" s="167"/>
      <c r="M182" s="344">
        <f t="shared" ca="1" si="13"/>
        <v>1.05</v>
      </c>
      <c r="N182" s="345" t="s">
        <v>41</v>
      </c>
      <c r="O182" s="372"/>
      <c r="P182" s="20"/>
      <c r="Q182" s="343" t="s">
        <v>116</v>
      </c>
      <c r="R182" s="32">
        <f ca="1">I182</f>
        <v>26.8</v>
      </c>
    </row>
    <row r="183" spans="1:18" ht="12.75" customHeight="1">
      <c r="C183" s="168" t="s">
        <v>114</v>
      </c>
      <c r="D183" s="373" t="str" cm="1">
        <f t="array" aca="1" ref="D183" ca="1">INDIRECT("'Worksheet'!$B"&amp;$B177)</f>
        <v>Chapel</v>
      </c>
      <c r="E183" s="22"/>
      <c r="F183" s="23"/>
      <c r="G183" s="22"/>
      <c r="H183" s="24"/>
      <c r="I183" s="445" t="str" cm="1">
        <f t="array" aca="1" ref="I183" ca="1">INDIRECT("'Worksheet'!$A"&amp;$B177)</f>
        <v>P1-14</v>
      </c>
      <c r="L183" s="168" t="s">
        <v>114</v>
      </c>
      <c r="M183" s="31" t="str">
        <f t="shared" ca="1" si="13"/>
        <v>Chapel</v>
      </c>
      <c r="N183" s="20"/>
      <c r="O183" s="33"/>
      <c r="P183" s="27"/>
      <c r="Q183" s="24"/>
      <c r="R183" s="445" t="str">
        <f ca="1">I183</f>
        <v>P1-14</v>
      </c>
    </row>
    <row r="184" spans="1:18" ht="15.75" customHeight="1">
      <c r="C184" s="164" t="s">
        <v>117</v>
      </c>
      <c r="D184" s="346" cm="1">
        <f t="array" aca="1" ref="D184" ca="1">INDIRECT("'Worksheet'!$H"&amp;$B177)</f>
        <v>3.8</v>
      </c>
      <c r="E184" s="20"/>
      <c r="F184" s="169" t="s">
        <v>118</v>
      </c>
      <c r="G184" s="35"/>
      <c r="H184" s="36" t="str">
        <f>+IF(Worksheet!$R$38=TRUE,"Yes",IF(Worksheet!$R$38=FALSE,"No"))</f>
        <v>Yes</v>
      </c>
      <c r="I184" s="446"/>
      <c r="L184" s="164" t="s">
        <v>117</v>
      </c>
      <c r="M184" s="34">
        <f t="shared" ca="1" si="13"/>
        <v>3.8</v>
      </c>
      <c r="N184" s="20"/>
      <c r="O184" s="169" t="s">
        <v>118</v>
      </c>
      <c r="P184" s="35"/>
      <c r="Q184" s="36" t="str">
        <f>H184</f>
        <v>Yes</v>
      </c>
      <c r="R184" s="446"/>
    </row>
    <row r="185" spans="1:18" ht="15.75" customHeight="1">
      <c r="C185" s="164" t="s">
        <v>119</v>
      </c>
      <c r="D185" s="37" t="str">
        <f ca="1">IF($E185&gt;0,"YES"," ")</f>
        <v>YES</v>
      </c>
      <c r="E185" s="347" t="str" cm="1">
        <f t="array" aca="1" ref="E185" ca="1">INDIRECT("'Worksheet'!$X"&amp;$B177)</f>
        <v xml:space="preserve">Flameguard </v>
      </c>
      <c r="F185" s="39"/>
      <c r="G185" s="20"/>
      <c r="H185" s="391" cm="1">
        <f t="array" aca="1" ref="H185" ca="1">INDIRECT("'Worksheet'!$R"&amp;$B177)</f>
        <v>62</v>
      </c>
      <c r="I185" s="446"/>
      <c r="J185" s="40"/>
      <c r="L185" s="164" t="s">
        <v>119</v>
      </c>
      <c r="M185" s="37" t="str">
        <f t="shared" ca="1" si="13"/>
        <v>YES</v>
      </c>
      <c r="N185" s="38" t="str">
        <f ca="1">E185</f>
        <v xml:space="preserve">Flameguard </v>
      </c>
      <c r="O185" s="39"/>
      <c r="P185" s="20"/>
      <c r="Q185" s="392">
        <f ca="1">H185</f>
        <v>62</v>
      </c>
      <c r="R185" s="446"/>
    </row>
    <row r="186" spans="1:18" ht="15.75" customHeight="1">
      <c r="C186" s="164" t="s">
        <v>13</v>
      </c>
      <c r="D186" s="347" t="str" cm="1">
        <f t="array" aca="1" ref="D186" ca="1">INDIRECT("'Worksheet'!$W"&amp;$B177)</f>
        <v>5th Avenue 72</v>
      </c>
      <c r="E186" s="22"/>
      <c r="F186" s="23"/>
      <c r="G186" s="22"/>
      <c r="H186" s="391" cm="1">
        <f t="array" aca="1" ref="H186" ca="1">INDIRECT("'Worksheet'!$P"&amp;$B177)</f>
        <v>74</v>
      </c>
      <c r="I186" s="447"/>
      <c r="L186" s="164" t="s">
        <v>13</v>
      </c>
      <c r="M186" s="21" t="str">
        <f t="shared" ca="1" si="13"/>
        <v>5th Avenue 72</v>
      </c>
      <c r="N186" s="22"/>
      <c r="O186" s="23"/>
      <c r="P186" s="22"/>
      <c r="Q186" s="392">
        <f ca="1">H186</f>
        <v>74</v>
      </c>
      <c r="R186" s="447"/>
    </row>
    <row r="187" spans="1:18" ht="23.25">
      <c r="C187" s="348" cm="1">
        <f t="array" aca="1" ref="C187" ca="1">INDIRECT("'Worksheet'!$J"&amp;$B177)</f>
        <v>0</v>
      </c>
      <c r="D187" s="444" t="str" cm="1">
        <f t="array" aca="1" ref="D187" ca="1">IF(INDIRECT("'Worksheet'!$D"&amp;$B177)=1, "Left of Pair", IF(INDIRECT("'Worksheet'!$E"&amp;$B177)=1, "Panel"))</f>
        <v>Left of Pair</v>
      </c>
      <c r="E187" s="444"/>
      <c r="F187" s="444"/>
      <c r="G187" s="374"/>
      <c r="H187" s="374" t="str" cm="1">
        <f t="array" aca="1" ref="H187" ca="1">IF(INDIRECT("'Worksheet'!$F"&amp;$B177)="st","SOR T&amp;B"," ")</f>
        <v xml:space="preserve"> </v>
      </c>
      <c r="I187" s="415">
        <f>IF(Worksheet!$D$46&gt;0,Worksheet!$D$46," ")</f>
        <v>30</v>
      </c>
      <c r="L187" s="41">
        <f ca="1">$C187</f>
        <v>0</v>
      </c>
      <c r="M187" s="444" t="str" cm="1">
        <f t="array" aca="1" ref="M187" ca="1">IF(INDIRECT("'Worksheet'!$D"&amp;$B177)=1, "Right of Pair", IF(INDIRECT("'Worksheet'!$E"&amp;$B177)=1, "Do Not Use"))</f>
        <v>Right of Pair</v>
      </c>
      <c r="N187" s="444"/>
      <c r="O187" s="444"/>
      <c r="P187" s="374"/>
      <c r="Q187" s="374"/>
      <c r="R187" s="415">
        <f>IF(Worksheet!$D$46&gt;0,Worksheet!$D$46," ")</f>
        <v>30</v>
      </c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+Worksheet!$W$4</f>
        <v>Windcrest WO#J5121027-00234.01</v>
      </c>
      <c r="E191" s="22"/>
      <c r="F191" s="23"/>
      <c r="G191" s="22"/>
      <c r="H191" s="24"/>
      <c r="I191" s="25">
        <f>+Worksheet!$AR$1</f>
        <v>0</v>
      </c>
      <c r="J191" s="26"/>
      <c r="L191" s="164" t="s">
        <v>113</v>
      </c>
      <c r="M191" s="21" t="str">
        <f>+Worksheet!$W$4</f>
        <v>Windcrest WO#J5121027-00234.01</v>
      </c>
      <c r="N191" s="22"/>
      <c r="O191" s="23"/>
      <c r="P191" s="22"/>
      <c r="Q191" s="24"/>
      <c r="R191" s="25">
        <f>+Worksheet!$AR$1</f>
        <v>0</v>
      </c>
    </row>
    <row r="192" spans="1:18" ht="32.25">
      <c r="C192" s="165" t="s">
        <v>128</v>
      </c>
      <c r="D192" s="150" cm="1">
        <f t="array" aca="1" ref="D192" ca="1">INDIRECT("'Worksheet'!$K"&amp;$B191)</f>
        <v>40</v>
      </c>
      <c r="E192" s="151" t="s">
        <v>115</v>
      </c>
      <c r="F192" s="150" cm="1">
        <f t="array" aca="1" ref="F192" ca="1">INDIRECT("'Worksheet'!$M"&amp;$B191)</f>
        <v>13.6</v>
      </c>
      <c r="G192" s="151" t="s">
        <v>122</v>
      </c>
      <c r="H192" s="150" cm="1">
        <f t="array" aca="1" ref="H192" ca="1">INDIRECT("'Worksheet'!$O"&amp;$B191)</f>
        <v>146</v>
      </c>
      <c r="I192" s="29" t="str">
        <f>+IF(Worksheet!$R$34=1,"Install",IF(Worksheet!$R$34=2,"Ship",IF(Worksheet!$R$34=3,"Deliver",IF(Worksheet!$R$34=4,"Will Call"))))</f>
        <v>Install</v>
      </c>
      <c r="J192" s="30"/>
      <c r="L192" s="165" t="s">
        <v>128</v>
      </c>
      <c r="M192" s="150">
        <f t="shared" ref="M192:M200" ca="1" si="14">D192</f>
        <v>40</v>
      </c>
      <c r="N192" s="151" t="s">
        <v>115</v>
      </c>
      <c r="O192" s="152">
        <f ca="1">F192</f>
        <v>13.6</v>
      </c>
      <c r="P192" s="151" t="s">
        <v>122</v>
      </c>
      <c r="Q192" s="153">
        <f ca="1">H192</f>
        <v>146</v>
      </c>
      <c r="R192" s="29" t="str">
        <f>+IF(Worksheet!$R$34=1,"Install",IF(Worksheet!$R$34=2,"Ship",IF(Worksheet!$R$34=3,"Deliver",IF(Worksheet!$R$34=4,"Will Call"))))</f>
        <v>Install</v>
      </c>
    </row>
    <row r="193" spans="1:18" ht="12.75" customHeight="1">
      <c r="C193" s="164" t="s">
        <v>121</v>
      </c>
      <c r="D193" s="19">
        <f ca="1">+IF($D201="Left of Pair",((D192+F192)*Worksheet!$AE$7)/2,IF($D201="Panel",(D192+F192)*Worksheet!$AE$7,IF($H201="SOR",D192*2.5+6,IF($H201="SOR T&amp;B",D192*2.5+6))))</f>
        <v>67</v>
      </c>
      <c r="E193" s="19" t="s">
        <v>122</v>
      </c>
      <c r="F193" s="369">
        <f ca="1">H192+15</f>
        <v>161</v>
      </c>
      <c r="G193" s="448" cm="1">
        <f t="array" aca="1" ref="G193" ca="1">INDIRECT("'Worksheet'!$Y"&amp;$B191)</f>
        <v>0</v>
      </c>
      <c r="H193" s="448"/>
      <c r="I193" s="449"/>
      <c r="L193" s="164" t="s">
        <v>121</v>
      </c>
      <c r="M193">
        <f t="shared" ca="1" si="14"/>
        <v>67</v>
      </c>
      <c r="N193" s="19" t="s">
        <v>122</v>
      </c>
      <c r="O193" s="369">
        <f ca="1">F193</f>
        <v>161</v>
      </c>
      <c r="P193" s="450">
        <f ca="1">G193</f>
        <v>0</v>
      </c>
      <c r="Q193" s="450"/>
      <c r="R193" s="451"/>
    </row>
    <row r="194" spans="1:18" ht="19.5" customHeight="1">
      <c r="C194" s="166"/>
      <c r="D194" s="161" cm="1">
        <f t="array" aca="1" ref="D194" ca="1">IF($D201="Left of Pair",INDIRECT("'Worksheet'!$Q"&amp;$B191)/2,IF($D201="Panel",INDIRECT("'Worksheet'!$Q"&amp;$B191)))</f>
        <v>0.92500000000000004</v>
      </c>
      <c r="E194" s="42" t="s">
        <v>41</v>
      </c>
      <c r="F194" s="370"/>
      <c r="G194" s="448"/>
      <c r="H194" s="448"/>
      <c r="I194" s="449"/>
      <c r="L194" s="166"/>
      <c r="M194" s="161">
        <f t="shared" ca="1" si="14"/>
        <v>0.92500000000000004</v>
      </c>
      <c r="N194" s="42" t="s">
        <v>41</v>
      </c>
      <c r="O194" s="370"/>
      <c r="P194" s="450"/>
      <c r="Q194" s="452"/>
      <c r="R194" s="453"/>
    </row>
    <row r="195" spans="1:18" ht="15.75">
      <c r="C195" s="164" t="s">
        <v>135</v>
      </c>
      <c r="D195" s="19">
        <f ca="1">+IF(D199="yes",IF($D201="Left of Pair",($D196*$H199),IF($D201="Panel",$D196*$H199,IF($H201="SOR",$D196*$H199," ")))," ")</f>
        <v>65.100000000000009</v>
      </c>
      <c r="E195" s="19" t="s">
        <v>122</v>
      </c>
      <c r="F195" s="369">
        <f ca="1">IF(D199="YES",H192+12," ")</f>
        <v>158</v>
      </c>
      <c r="H195" s="343" t="s">
        <v>10</v>
      </c>
      <c r="I195" s="371" cm="1">
        <f t="array" aca="1" ref="I195" ca="1">INDIRECT("'Worksheet'!$Q"&amp;B191)</f>
        <v>1.85</v>
      </c>
      <c r="L195" s="164" t="s">
        <v>135</v>
      </c>
      <c r="M195">
        <f t="shared" ca="1" si="14"/>
        <v>65.100000000000009</v>
      </c>
      <c r="N195" s="19" t="s">
        <v>122</v>
      </c>
      <c r="O195" s="369">
        <f ca="1">F195</f>
        <v>158</v>
      </c>
      <c r="P195" s="19"/>
      <c r="Q195" s="343" t="s">
        <v>10</v>
      </c>
      <c r="R195" s="160">
        <f ca="1">I195</f>
        <v>1.85</v>
      </c>
    </row>
    <row r="196" spans="1:18">
      <c r="C196" s="167"/>
      <c r="D196" s="161" cm="1">
        <f t="array" aca="1" ref="D196" ca="1">IF(D199="yes",IF($D201="Left of Pair",INDIRECT("'Worksheet'!$S"&amp;$B191)/2,IF($D201="Panel",INDIRECT("'Worksheet'!$S"&amp;$B191)))," ")</f>
        <v>1.05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26.8</v>
      </c>
      <c r="L196" s="167"/>
      <c r="M196" s="344">
        <f t="shared" ca="1" si="14"/>
        <v>1.05</v>
      </c>
      <c r="N196" s="345" t="s">
        <v>41</v>
      </c>
      <c r="O196" s="372"/>
      <c r="P196" s="20"/>
      <c r="Q196" s="343" t="s">
        <v>116</v>
      </c>
      <c r="R196" s="32">
        <f ca="1">I196</f>
        <v>26.8</v>
      </c>
    </row>
    <row r="197" spans="1:18" ht="12.75" customHeight="1">
      <c r="C197" s="168" t="s">
        <v>114</v>
      </c>
      <c r="D197" s="373" t="str" cm="1">
        <f t="array" aca="1" ref="D197" ca="1">INDIRECT("'Worksheet'!$B"&amp;$B191)</f>
        <v>Chapel</v>
      </c>
      <c r="E197" s="22"/>
      <c r="F197" s="23"/>
      <c r="G197" s="22"/>
      <c r="H197" s="24"/>
      <c r="I197" s="445" t="str" cm="1">
        <f t="array" aca="1" ref="I197" ca="1">INDIRECT("'Worksheet'!$A"&amp;$B191)</f>
        <v>P1-15</v>
      </c>
      <c r="L197" s="168" t="s">
        <v>114</v>
      </c>
      <c r="M197" s="31" t="str">
        <f t="shared" ca="1" si="14"/>
        <v>Chapel</v>
      </c>
      <c r="N197" s="20"/>
      <c r="O197" s="33"/>
      <c r="P197" s="27"/>
      <c r="Q197" s="24"/>
      <c r="R197" s="445" t="str">
        <f ca="1">I197</f>
        <v>P1-15</v>
      </c>
    </row>
    <row r="198" spans="1:18" ht="15.75" customHeight="1">
      <c r="C198" s="164" t="s">
        <v>117</v>
      </c>
      <c r="D198" s="346" cm="1">
        <f t="array" aca="1" ref="D198" ca="1">INDIRECT("'Worksheet'!$H"&amp;$B191)</f>
        <v>3.8</v>
      </c>
      <c r="E198" s="20"/>
      <c r="F198" s="169" t="s">
        <v>118</v>
      </c>
      <c r="G198" s="35"/>
      <c r="H198" s="36" t="str">
        <f>+IF(Worksheet!$R$38=TRUE,"Yes",IF(Worksheet!$R$38=FALSE,"No"))</f>
        <v>Yes</v>
      </c>
      <c r="I198" s="446"/>
      <c r="L198" s="164" t="s">
        <v>117</v>
      </c>
      <c r="M198" s="34">
        <f t="shared" ca="1" si="14"/>
        <v>3.8</v>
      </c>
      <c r="N198" s="20"/>
      <c r="O198" s="169" t="s">
        <v>118</v>
      </c>
      <c r="P198" s="35"/>
      <c r="Q198" s="36" t="str">
        <f>H198</f>
        <v>Yes</v>
      </c>
      <c r="R198" s="446"/>
    </row>
    <row r="199" spans="1:18" ht="15.75" customHeight="1">
      <c r="C199" s="164" t="s">
        <v>119</v>
      </c>
      <c r="D199" s="37" t="str">
        <f ca="1">IF($E199&gt;0,"YES"," ")</f>
        <v>YES</v>
      </c>
      <c r="E199" s="347" t="str" cm="1">
        <f t="array" aca="1" ref="E199" ca="1">INDIRECT("'Worksheet'!$X"&amp;$B191)</f>
        <v xml:space="preserve">Flameguard </v>
      </c>
      <c r="F199" s="39"/>
      <c r="G199" s="20"/>
      <c r="H199" s="391" cm="1">
        <f t="array" aca="1" ref="H199" ca="1">INDIRECT("'Worksheet'!$R"&amp;$B191)</f>
        <v>62</v>
      </c>
      <c r="I199" s="446"/>
      <c r="J199" s="40"/>
      <c r="L199" s="164" t="s">
        <v>119</v>
      </c>
      <c r="M199" s="37" t="str">
        <f t="shared" ca="1" si="14"/>
        <v>YES</v>
      </c>
      <c r="N199" s="38" t="str">
        <f ca="1">E199</f>
        <v xml:space="preserve">Flameguard </v>
      </c>
      <c r="O199" s="39"/>
      <c r="P199" s="20"/>
      <c r="Q199" s="392">
        <f ca="1">H199</f>
        <v>62</v>
      </c>
      <c r="R199" s="446"/>
    </row>
    <row r="200" spans="1:18" ht="15.75" customHeight="1">
      <c r="C200" s="164" t="s">
        <v>13</v>
      </c>
      <c r="D200" s="347" t="str" cm="1">
        <f t="array" aca="1" ref="D200" ca="1">INDIRECT("'Worksheet'!$W"&amp;$B191)</f>
        <v>5th Avenue 72</v>
      </c>
      <c r="E200" s="22"/>
      <c r="F200" s="23"/>
      <c r="G200" s="22"/>
      <c r="H200" s="391" cm="1">
        <f t="array" aca="1" ref="H200" ca="1">INDIRECT("'Worksheet'!$P"&amp;$B191)</f>
        <v>74</v>
      </c>
      <c r="I200" s="447"/>
      <c r="L200" s="164" t="s">
        <v>13</v>
      </c>
      <c r="M200" s="21" t="str">
        <f t="shared" ca="1" si="14"/>
        <v>5th Avenue 72</v>
      </c>
      <c r="N200" s="22"/>
      <c r="O200" s="23"/>
      <c r="P200" s="22"/>
      <c r="Q200" s="392">
        <f ca="1">H200</f>
        <v>74</v>
      </c>
      <c r="R200" s="447"/>
    </row>
    <row r="201" spans="1:18" ht="23.25">
      <c r="C201" s="348" cm="1">
        <f t="array" aca="1" ref="C201" ca="1">INDIRECT("'Worksheet'!$J"&amp;$B191)</f>
        <v>0</v>
      </c>
      <c r="D201" s="444" t="str" cm="1">
        <f t="array" aca="1" ref="D201" ca="1">IF(INDIRECT("'Worksheet'!$D"&amp;$B191)=1, "Left of Pair", IF(INDIRECT("'Worksheet'!$E"&amp;$B191)=1, "Panel"))</f>
        <v>Left of Pair</v>
      </c>
      <c r="E201" s="444"/>
      <c r="F201" s="444"/>
      <c r="G201" s="374"/>
      <c r="H201" s="374" t="str" cm="1">
        <f t="array" aca="1" ref="H201" ca="1">IF(INDIRECT("'Worksheet'!$F"&amp;$B191)="st","SOR T&amp;B"," ")</f>
        <v xml:space="preserve"> </v>
      </c>
      <c r="I201" s="415">
        <f>IF(Worksheet!$D$46&gt;0,Worksheet!$D$46," ")</f>
        <v>30</v>
      </c>
      <c r="L201" s="41">
        <f ca="1">$C201</f>
        <v>0</v>
      </c>
      <c r="M201" s="444" t="str" cm="1">
        <f t="array" aca="1" ref="M201" ca="1">IF(INDIRECT("'Worksheet'!$D"&amp;$B191)=1, "Right of Pair", IF(INDIRECT("'Worksheet'!$E"&amp;$B191)=1, "Do Not Use"))</f>
        <v>Right of Pair</v>
      </c>
      <c r="N201" s="444"/>
      <c r="O201" s="444"/>
      <c r="P201" s="374"/>
      <c r="Q201" s="374"/>
      <c r="R201" s="415">
        <f>IF(Worksheet!$D$46&gt;0,Worksheet!$D$46," ")</f>
        <v>30</v>
      </c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+Worksheet!$W$4</f>
        <v>Windcrest WO#J5121027-00234.01</v>
      </c>
      <c r="E205" s="22"/>
      <c r="F205" s="23"/>
      <c r="G205" s="22"/>
      <c r="H205" s="24"/>
      <c r="I205" s="25">
        <f>+Worksheet!$AR$1</f>
        <v>0</v>
      </c>
      <c r="J205" s="26"/>
      <c r="L205" s="164" t="s">
        <v>113</v>
      </c>
      <c r="M205" s="21" t="str">
        <f>+Worksheet!$W$4</f>
        <v>Windcrest WO#J5121027-00234.01</v>
      </c>
      <c r="N205" s="22"/>
      <c r="O205" s="23"/>
      <c r="P205" s="22"/>
      <c r="Q205" s="24"/>
      <c r="R205" s="25">
        <f>+Worksheet!$AR$1</f>
        <v>0</v>
      </c>
    </row>
    <row r="206" spans="1:18" ht="32.25">
      <c r="C206" s="165" t="s">
        <v>128</v>
      </c>
      <c r="D206" s="150" cm="1">
        <f t="array" aca="1" ref="D206" ca="1">INDIRECT("'Worksheet'!$K"&amp;$B205)</f>
        <v>40</v>
      </c>
      <c r="E206" s="151" t="s">
        <v>115</v>
      </c>
      <c r="F206" s="150" cm="1">
        <f t="array" aca="1" ref="F206" ca="1">INDIRECT("'Worksheet'!$M"&amp;$B205)</f>
        <v>13.6</v>
      </c>
      <c r="G206" s="151" t="s">
        <v>122</v>
      </c>
      <c r="H206" s="150" cm="1">
        <f t="array" aca="1" ref="H206" ca="1">INDIRECT("'Worksheet'!$O"&amp;$B205)</f>
        <v>146</v>
      </c>
      <c r="I206" s="29" t="str">
        <f>+IF(Worksheet!$R$34=1,"Install",IF(Worksheet!$R$34=2,"Ship",IF(Worksheet!$R$34=3,"Deliver",IF(Worksheet!$R$34=4,"Will Call"))))</f>
        <v>Install</v>
      </c>
      <c r="J206" s="30"/>
      <c r="L206" s="165" t="s">
        <v>128</v>
      </c>
      <c r="M206" s="150">
        <f t="shared" ref="M206:M214" ca="1" si="15">D206</f>
        <v>40</v>
      </c>
      <c r="N206" s="151" t="s">
        <v>115</v>
      </c>
      <c r="O206" s="152">
        <f ca="1">F206</f>
        <v>13.6</v>
      </c>
      <c r="P206" s="151" t="s">
        <v>122</v>
      </c>
      <c r="Q206" s="153">
        <f ca="1">H206</f>
        <v>146</v>
      </c>
      <c r="R206" s="29" t="str">
        <f>+IF(Worksheet!$R$34=1,"Install",IF(Worksheet!$R$34=2,"Ship",IF(Worksheet!$R$34=3,"Deliver",IF(Worksheet!$R$34=4,"Will Call"))))</f>
        <v>Install</v>
      </c>
    </row>
    <row r="207" spans="1:18" ht="12.75" customHeight="1">
      <c r="C207" s="164" t="s">
        <v>121</v>
      </c>
      <c r="D207" s="19">
        <f ca="1">+IF($D215="Left of Pair",((D206+F206)*Worksheet!$AE$7)/2,IF($D215="Panel",(D206+F206)*Worksheet!$AE$7,IF($H215="SOR",D206*2.5+6,IF($H215="SOR T&amp;B",D206*2.5+6))))</f>
        <v>67</v>
      </c>
      <c r="E207" s="19" t="s">
        <v>122</v>
      </c>
      <c r="F207" s="369">
        <f ca="1">H206+15</f>
        <v>161</v>
      </c>
      <c r="G207" s="448" cm="1">
        <f t="array" aca="1" ref="G207" ca="1">INDIRECT("'Worksheet'!$Y"&amp;$B205)</f>
        <v>0</v>
      </c>
      <c r="H207" s="448"/>
      <c r="I207" s="449"/>
      <c r="L207" s="164" t="s">
        <v>121</v>
      </c>
      <c r="M207">
        <f t="shared" ca="1" si="15"/>
        <v>67</v>
      </c>
      <c r="N207" s="19" t="s">
        <v>122</v>
      </c>
      <c r="O207" s="369">
        <f ca="1">F207</f>
        <v>161</v>
      </c>
      <c r="P207" s="450">
        <f ca="1">G207</f>
        <v>0</v>
      </c>
      <c r="Q207" s="450"/>
      <c r="R207" s="451"/>
    </row>
    <row r="208" spans="1:18" ht="19.5" customHeight="1">
      <c r="C208" s="166"/>
      <c r="D208" s="161" cm="1">
        <f t="array" aca="1" ref="D208" ca="1">IF($D215="Left of Pair",INDIRECT("'Worksheet'!$Q"&amp;$B205)/2,IF($D215="Panel",INDIRECT("'Worksheet'!$Q"&amp;$B205)))</f>
        <v>0.92500000000000004</v>
      </c>
      <c r="E208" s="42" t="s">
        <v>41</v>
      </c>
      <c r="F208" s="370"/>
      <c r="G208" s="448"/>
      <c r="H208" s="448"/>
      <c r="I208" s="449"/>
      <c r="L208" s="166"/>
      <c r="M208" s="161">
        <f t="shared" ca="1" si="15"/>
        <v>0.92500000000000004</v>
      </c>
      <c r="N208" s="42" t="s">
        <v>41</v>
      </c>
      <c r="O208" s="370"/>
      <c r="P208" s="450"/>
      <c r="Q208" s="452"/>
      <c r="R208" s="453"/>
    </row>
    <row r="209" spans="1:18" ht="15.75">
      <c r="C209" s="164" t="s">
        <v>135</v>
      </c>
      <c r="D209" s="19">
        <f ca="1">+IF(D213="yes",IF($D215="Left of Pair",($D210*$H213),IF($D215="Panel",$D210*$H213,IF($H215="SOR",$D210*$H213," ")))," ")</f>
        <v>65.100000000000009</v>
      </c>
      <c r="E209" s="19" t="s">
        <v>122</v>
      </c>
      <c r="F209" s="369">
        <f ca="1">IF(D213="YES",H206+12," ")</f>
        <v>158</v>
      </c>
      <c r="H209" s="343" t="s">
        <v>10</v>
      </c>
      <c r="I209" s="371" cm="1">
        <f t="array" aca="1" ref="I209" ca="1">INDIRECT("'Worksheet'!$Q"&amp;B205)</f>
        <v>1.85</v>
      </c>
      <c r="L209" s="164" t="s">
        <v>135</v>
      </c>
      <c r="M209">
        <f t="shared" ca="1" si="15"/>
        <v>65.100000000000009</v>
      </c>
      <c r="N209" s="19" t="s">
        <v>122</v>
      </c>
      <c r="O209" s="369">
        <f ca="1">F209</f>
        <v>158</v>
      </c>
      <c r="P209" s="19"/>
      <c r="Q209" s="343" t="s">
        <v>10</v>
      </c>
      <c r="R209" s="160">
        <f ca="1">I209</f>
        <v>1.85</v>
      </c>
    </row>
    <row r="210" spans="1:18">
      <c r="C210" s="167"/>
      <c r="D210" s="161" cm="1">
        <f t="array" aca="1" ref="D210" ca="1">IF(D213="yes",IF($D215="Left of Pair",INDIRECT("'Worksheet'!$S"&amp;$B205)/2,IF($D215="Panel",INDIRECT("'Worksheet'!$S"&amp;$B205)))," ")</f>
        <v>1.05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26.8</v>
      </c>
      <c r="L210" s="167"/>
      <c r="M210" s="344">
        <f t="shared" ca="1" si="15"/>
        <v>1.05</v>
      </c>
      <c r="N210" s="345" t="s">
        <v>41</v>
      </c>
      <c r="O210" s="372"/>
      <c r="P210" s="20"/>
      <c r="Q210" s="343" t="s">
        <v>116</v>
      </c>
      <c r="R210" s="32">
        <f ca="1">I210</f>
        <v>26.8</v>
      </c>
    </row>
    <row r="211" spans="1:18" ht="12.75" customHeight="1">
      <c r="C211" s="168" t="s">
        <v>114</v>
      </c>
      <c r="D211" s="373" t="str" cm="1">
        <f t="array" aca="1" ref="D211" ca="1">INDIRECT("'Worksheet'!$B"&amp;$B205)</f>
        <v>Chapel</v>
      </c>
      <c r="E211" s="22"/>
      <c r="F211" s="23"/>
      <c r="G211" s="22"/>
      <c r="H211" s="24"/>
      <c r="I211" s="445" t="str" cm="1">
        <f t="array" aca="1" ref="I211" ca="1">INDIRECT("'Worksheet'!$A"&amp;$B205)</f>
        <v>P1-16</v>
      </c>
      <c r="L211" s="168" t="s">
        <v>114</v>
      </c>
      <c r="M211" s="31" t="str">
        <f t="shared" ca="1" si="15"/>
        <v>Chapel</v>
      </c>
      <c r="N211" s="20"/>
      <c r="O211" s="33"/>
      <c r="P211" s="27"/>
      <c r="Q211" s="24"/>
      <c r="R211" s="445" t="str">
        <f ca="1">I211</f>
        <v>P1-16</v>
      </c>
    </row>
    <row r="212" spans="1:18" ht="15.75" customHeight="1">
      <c r="C212" s="164" t="s">
        <v>117</v>
      </c>
      <c r="D212" s="346" cm="1">
        <f t="array" aca="1" ref="D212" ca="1">INDIRECT("'Worksheet'!$H"&amp;$B205)</f>
        <v>3.8</v>
      </c>
      <c r="E212" s="20"/>
      <c r="F212" s="169" t="s">
        <v>118</v>
      </c>
      <c r="G212" s="35"/>
      <c r="H212" s="36" t="str">
        <f>+IF(Worksheet!$R$38=TRUE,"Yes",IF(Worksheet!$R$38=FALSE,"No"))</f>
        <v>Yes</v>
      </c>
      <c r="I212" s="446"/>
      <c r="L212" s="164" t="s">
        <v>117</v>
      </c>
      <c r="M212" s="34">
        <f t="shared" ca="1" si="15"/>
        <v>3.8</v>
      </c>
      <c r="N212" s="20"/>
      <c r="O212" s="169" t="s">
        <v>118</v>
      </c>
      <c r="P212" s="35"/>
      <c r="Q212" s="36" t="str">
        <f>H212</f>
        <v>Yes</v>
      </c>
      <c r="R212" s="446"/>
    </row>
    <row r="213" spans="1:18" ht="15.75" customHeight="1">
      <c r="C213" s="164" t="s">
        <v>119</v>
      </c>
      <c r="D213" s="37" t="str">
        <f ca="1">IF($E213&gt;0,"YES"," ")</f>
        <v>YES</v>
      </c>
      <c r="E213" s="347" t="str" cm="1">
        <f t="array" aca="1" ref="E213" ca="1">INDIRECT("'Worksheet'!$X"&amp;$B205)</f>
        <v xml:space="preserve">Flameguard </v>
      </c>
      <c r="F213" s="39"/>
      <c r="G213" s="20"/>
      <c r="H213" s="391" cm="1">
        <f t="array" aca="1" ref="H213" ca="1">INDIRECT("'Worksheet'!$R"&amp;$B205)</f>
        <v>62</v>
      </c>
      <c r="I213" s="446"/>
      <c r="J213" s="40"/>
      <c r="L213" s="164" t="s">
        <v>119</v>
      </c>
      <c r="M213" s="37" t="str">
        <f t="shared" ca="1" si="15"/>
        <v>YES</v>
      </c>
      <c r="N213" s="38" t="str">
        <f ca="1">E213</f>
        <v xml:space="preserve">Flameguard </v>
      </c>
      <c r="O213" s="39"/>
      <c r="P213" s="20"/>
      <c r="Q213" s="392">
        <f ca="1">H213</f>
        <v>62</v>
      </c>
      <c r="R213" s="446"/>
    </row>
    <row r="214" spans="1:18" ht="15.75" customHeight="1">
      <c r="C214" s="164" t="s">
        <v>13</v>
      </c>
      <c r="D214" s="347" t="str" cm="1">
        <f t="array" aca="1" ref="D214" ca="1">INDIRECT("'Worksheet'!$W"&amp;$B205)</f>
        <v>5th Avenue 72</v>
      </c>
      <c r="E214" s="22"/>
      <c r="F214" s="23"/>
      <c r="G214" s="22"/>
      <c r="H214" s="391" cm="1">
        <f t="array" aca="1" ref="H214" ca="1">INDIRECT("'Worksheet'!$P"&amp;$B205)</f>
        <v>74</v>
      </c>
      <c r="I214" s="447"/>
      <c r="L214" s="164" t="s">
        <v>13</v>
      </c>
      <c r="M214" s="21" t="str">
        <f t="shared" ca="1" si="15"/>
        <v>5th Avenue 72</v>
      </c>
      <c r="N214" s="22"/>
      <c r="O214" s="23"/>
      <c r="P214" s="22"/>
      <c r="Q214" s="392">
        <f ca="1">H214</f>
        <v>74</v>
      </c>
      <c r="R214" s="447"/>
    </row>
    <row r="215" spans="1:18" ht="23.25">
      <c r="C215" s="348" cm="1">
        <f t="array" aca="1" ref="C215" ca="1">INDIRECT("'Worksheet'!$J"&amp;$B205)</f>
        <v>0</v>
      </c>
      <c r="D215" s="444" t="str" cm="1">
        <f t="array" aca="1" ref="D215" ca="1">IF(INDIRECT("'Worksheet'!$D"&amp;$B205)=1, "Left of Pair", IF(INDIRECT("'Worksheet'!$E"&amp;$B205)=1, "Panel"))</f>
        <v>Left of Pair</v>
      </c>
      <c r="E215" s="444"/>
      <c r="F215" s="444"/>
      <c r="G215" s="374"/>
      <c r="H215" s="374" t="str" cm="1">
        <f t="array" aca="1" ref="H215" ca="1">IF(INDIRECT("'Worksheet'!$F"&amp;$B205)="st","SOR T&amp;B"," ")</f>
        <v xml:space="preserve"> </v>
      </c>
      <c r="I215" s="415">
        <f>IF(Worksheet!$D$46&gt;0,Worksheet!$D$46," ")</f>
        <v>30</v>
      </c>
      <c r="L215" s="41">
        <f ca="1">$C215</f>
        <v>0</v>
      </c>
      <c r="M215" s="444" t="str" cm="1">
        <f t="array" aca="1" ref="M215" ca="1">IF(INDIRECT("'Worksheet'!$D"&amp;$B205)=1, "Right of Pair", IF(INDIRECT("'Worksheet'!$E"&amp;$B205)=1, "Do Not Use"))</f>
        <v>Right of Pair</v>
      </c>
      <c r="N215" s="444"/>
      <c r="O215" s="444"/>
      <c r="P215" s="374"/>
      <c r="Q215" s="374"/>
      <c r="R215" s="415">
        <f>IF(Worksheet!$D$46&gt;0,Worksheet!$D$46," ")</f>
        <v>30</v>
      </c>
    </row>
    <row r="217" spans="1:18" ht="19.5">
      <c r="A217" t="s">
        <v>45</v>
      </c>
      <c r="B217">
        <v>27</v>
      </c>
      <c r="C217" s="164" t="s">
        <v>113</v>
      </c>
      <c r="D217" s="21" t="str">
        <f>+Worksheet!$W$4</f>
        <v>Windcrest WO#J5121027-00234.01</v>
      </c>
      <c r="E217" s="22"/>
      <c r="F217" s="23"/>
      <c r="G217" s="22"/>
      <c r="H217" s="24"/>
      <c r="I217" s="25">
        <f>+Worksheet!$AR$1</f>
        <v>0</v>
      </c>
      <c r="J217" s="26"/>
      <c r="L217" s="164" t="s">
        <v>113</v>
      </c>
      <c r="M217" s="21" t="str">
        <f>+Worksheet!$W$4</f>
        <v>Windcrest WO#J5121027-00234.01</v>
      </c>
      <c r="N217" s="22"/>
      <c r="O217" s="23"/>
      <c r="P217" s="22"/>
      <c r="Q217" s="24"/>
      <c r="R217" s="25">
        <f>+Worksheet!$AR$1</f>
        <v>0</v>
      </c>
    </row>
    <row r="218" spans="1:18" ht="32.25">
      <c r="C218" s="165" t="s">
        <v>128</v>
      </c>
      <c r="D218" s="150" cm="1">
        <f t="array" aca="1" ref="D218" ca="1">INDIRECT("'Worksheet'!$K"&amp;$B217)</f>
        <v>54</v>
      </c>
      <c r="E218" s="151" t="s">
        <v>115</v>
      </c>
      <c r="F218" s="150" cm="1">
        <f t="array" aca="1" ref="F218" ca="1">INDIRECT("'Worksheet'!$M"&amp;$B217)</f>
        <v>13</v>
      </c>
      <c r="G218" s="151" t="s">
        <v>122</v>
      </c>
      <c r="H218" s="150" cm="1">
        <f t="array" aca="1" ref="H218" ca="1">INDIRECT("'Worksheet'!$O"&amp;$B217)</f>
        <v>100</v>
      </c>
      <c r="I218" s="29" t="str">
        <f>+IF(Worksheet!$R$34=1,"Install",IF(Worksheet!$R$34=2,"Ship",IF(Worksheet!$R$34=3,"Deliver",IF(Worksheet!$R$34=4,"Will Call"))))</f>
        <v>Install</v>
      </c>
      <c r="J218" s="30"/>
      <c r="L218" s="165" t="s">
        <v>128</v>
      </c>
      <c r="M218" s="150">
        <f t="shared" ref="M218:M226" ca="1" si="16">D218</f>
        <v>54</v>
      </c>
      <c r="N218" s="151" t="s">
        <v>115</v>
      </c>
      <c r="O218" s="152">
        <f ca="1">F218</f>
        <v>13</v>
      </c>
      <c r="P218" s="151" t="s">
        <v>122</v>
      </c>
      <c r="Q218" s="153">
        <f ca="1">H218</f>
        <v>100</v>
      </c>
      <c r="R218" s="29" t="str">
        <f>+IF(Worksheet!$R$34=1,"Install",IF(Worksheet!$R$34=2,"Ship",IF(Worksheet!$R$34=3,"Deliver",IF(Worksheet!$R$34=4,"Will Call"))))</f>
        <v>Install</v>
      </c>
    </row>
    <row r="219" spans="1:18" ht="12.75" customHeight="1">
      <c r="C219" s="164" t="s">
        <v>121</v>
      </c>
      <c r="D219" s="19">
        <f ca="1">+IF($D227="Left of Pair",((D218+F218)*Worksheet!$AE$7)/2,IF($D227="Panel",(D218+F218)*Worksheet!$AE$7,IF($H227="SOR",D218*2.5+6,IF($H227="SOR T&amp;B",D218*2.5+6))))</f>
        <v>83.75</v>
      </c>
      <c r="E219" s="19" t="s">
        <v>122</v>
      </c>
      <c r="F219" s="369">
        <f ca="1">H218+15</f>
        <v>115</v>
      </c>
      <c r="G219" s="448" cm="1">
        <f t="array" aca="1" ref="G219" ca="1">INDIRECT("'Worksheet'!$Y"&amp;$B217)</f>
        <v>0</v>
      </c>
      <c r="H219" s="448"/>
      <c r="I219" s="449"/>
      <c r="L219" s="164" t="s">
        <v>121</v>
      </c>
      <c r="M219">
        <f t="shared" ca="1" si="16"/>
        <v>83.75</v>
      </c>
      <c r="N219" s="19" t="s">
        <v>122</v>
      </c>
      <c r="O219" s="369">
        <f ca="1">F219</f>
        <v>115</v>
      </c>
      <c r="P219" s="450">
        <f ca="1">G219</f>
        <v>0</v>
      </c>
      <c r="Q219" s="450"/>
      <c r="R219" s="451"/>
    </row>
    <row r="220" spans="1:18" ht="19.5" customHeight="1">
      <c r="C220" s="166"/>
      <c r="D220" s="161" cm="1">
        <f t="array" aca="1" ref="D220" ca="1">IF($D227="Left of Pair",INDIRECT("'Worksheet'!$Q"&amp;$B217)/2,IF($D227="Panel",INDIRECT("'Worksheet'!$Q"&amp;$B217)))</f>
        <v>1.1499999999999999</v>
      </c>
      <c r="E220" s="42" t="s">
        <v>41</v>
      </c>
      <c r="F220" s="370"/>
      <c r="G220" s="448"/>
      <c r="H220" s="448"/>
      <c r="I220" s="449"/>
      <c r="L220" s="166"/>
      <c r="M220" s="161">
        <f t="shared" ca="1" si="16"/>
        <v>1.1499999999999999</v>
      </c>
      <c r="N220" s="42" t="s">
        <v>41</v>
      </c>
      <c r="O220" s="370"/>
      <c r="P220" s="450"/>
      <c r="Q220" s="452"/>
      <c r="R220" s="453"/>
    </row>
    <row r="221" spans="1:18" ht="15.75">
      <c r="C221" s="164" t="s">
        <v>135</v>
      </c>
      <c r="D221" s="19">
        <f ca="1">+IF(D225="yes",IF($D227="Left of Pair",($D222*$H225),IF($D227="Panel",$D222*$H225,IF($H227="SOR",$D222*$H225," ")))," ")</f>
        <v>83.7</v>
      </c>
      <c r="E221" s="19" t="s">
        <v>122</v>
      </c>
      <c r="F221" s="369">
        <f ca="1">IF(D225="YES",H218+12," ")</f>
        <v>112</v>
      </c>
      <c r="H221" s="343" t="s">
        <v>10</v>
      </c>
      <c r="I221" s="371" cm="1">
        <f t="array" aca="1" ref="I221" ca="1">INDIRECT("'Worksheet'!$Q"&amp;B217)</f>
        <v>2.2999999999999998</v>
      </c>
      <c r="L221" s="164" t="s">
        <v>135</v>
      </c>
      <c r="M221">
        <f t="shared" ca="1" si="16"/>
        <v>83.7</v>
      </c>
      <c r="N221" s="19" t="s">
        <v>122</v>
      </c>
      <c r="O221" s="369">
        <f ca="1">F221</f>
        <v>112</v>
      </c>
      <c r="P221" s="19"/>
      <c r="Q221" s="343" t="s">
        <v>10</v>
      </c>
      <c r="R221" s="160">
        <f ca="1">I221</f>
        <v>2.2999999999999998</v>
      </c>
    </row>
    <row r="222" spans="1:18">
      <c r="C222" s="167"/>
      <c r="D222" s="161" cm="1">
        <f t="array" aca="1" ref="D222" ca="1">IF(D225="yes",IF($D227="Left of Pair",INDIRECT("'Worksheet'!$S"&amp;$B217)/2,IF($D227="Panel",INDIRECT("'Worksheet'!$S"&amp;$B217)))," ")</f>
        <v>1.35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33.5</v>
      </c>
      <c r="L222" s="167"/>
      <c r="M222" s="344">
        <f t="shared" ca="1" si="16"/>
        <v>1.35</v>
      </c>
      <c r="N222" s="345" t="s">
        <v>41</v>
      </c>
      <c r="O222" s="372"/>
      <c r="P222" s="20"/>
      <c r="Q222" s="343" t="s">
        <v>116</v>
      </c>
      <c r="R222" s="32">
        <f ca="1">I222</f>
        <v>33.5</v>
      </c>
    </row>
    <row r="223" spans="1:18" ht="12.75" customHeight="1">
      <c r="C223" s="168" t="s">
        <v>114</v>
      </c>
      <c r="D223" s="373" t="str" cm="1">
        <f t="array" aca="1" ref="D223" ca="1">INDIRECT("'Worksheet'!$B"&amp;$B217)</f>
        <v>Clerk</v>
      </c>
      <c r="E223" s="22"/>
      <c r="F223" s="23"/>
      <c r="G223" s="22"/>
      <c r="H223" s="24"/>
      <c r="I223" s="445" t="str" cm="1">
        <f t="array" aca="1" ref="I223" ca="1">INDIRECT("'Worksheet'!$A"&amp;$B217)</f>
        <v>P1-17</v>
      </c>
      <c r="L223" s="168" t="s">
        <v>114</v>
      </c>
      <c r="M223" s="31" t="str">
        <f t="shared" ca="1" si="16"/>
        <v>Clerk</v>
      </c>
      <c r="N223" s="20"/>
      <c r="O223" s="33"/>
      <c r="P223" s="27"/>
      <c r="Q223" s="24"/>
      <c r="R223" s="445" t="str">
        <f ca="1">I223</f>
        <v>P1-17</v>
      </c>
    </row>
    <row r="224" spans="1:18" ht="15.75" customHeight="1">
      <c r="C224" s="164" t="s">
        <v>117</v>
      </c>
      <c r="D224" s="346" cm="1">
        <f t="array" aca="1" ref="D224" ca="1">INDIRECT("'Worksheet'!$H"&amp;$B217)</f>
        <v>3.5</v>
      </c>
      <c r="E224" s="20"/>
      <c r="F224" s="169" t="s">
        <v>118</v>
      </c>
      <c r="G224" s="35"/>
      <c r="H224" s="36" t="str">
        <f>+IF(Worksheet!$R$38=TRUE,"Yes",IF(Worksheet!$R$38=FALSE,"No"))</f>
        <v>Yes</v>
      </c>
      <c r="I224" s="446"/>
      <c r="L224" s="164" t="s">
        <v>117</v>
      </c>
      <c r="M224" s="34">
        <f t="shared" ca="1" si="16"/>
        <v>3.5</v>
      </c>
      <c r="N224" s="20"/>
      <c r="O224" s="169" t="s">
        <v>118</v>
      </c>
      <c r="P224" s="35"/>
      <c r="Q224" s="36" t="str">
        <f>H224</f>
        <v>Yes</v>
      </c>
      <c r="R224" s="446"/>
    </row>
    <row r="225" spans="1:18" ht="15.75" customHeight="1">
      <c r="C225" s="164" t="s">
        <v>119</v>
      </c>
      <c r="D225" s="37" t="str">
        <f ca="1">IF($E225&gt;0,"YES"," ")</f>
        <v>YES</v>
      </c>
      <c r="E225" s="347" t="str" cm="1">
        <f t="array" aca="1" ref="E225" ca="1">INDIRECT("'Worksheet'!$X"&amp;$B217)</f>
        <v xml:space="preserve">Flameguard </v>
      </c>
      <c r="F225" s="39"/>
      <c r="G225" s="20"/>
      <c r="H225" s="391" cm="1">
        <f t="array" aca="1" ref="H225" ca="1">INDIRECT("'Worksheet'!$R"&amp;$B217)</f>
        <v>62</v>
      </c>
      <c r="I225" s="446"/>
      <c r="J225" s="40"/>
      <c r="L225" s="164" t="s">
        <v>119</v>
      </c>
      <c r="M225" s="37" t="str">
        <f t="shared" ca="1" si="16"/>
        <v>YES</v>
      </c>
      <c r="N225" s="38" t="str">
        <f ca="1">E225</f>
        <v xml:space="preserve">Flameguard </v>
      </c>
      <c r="O225" s="39"/>
      <c r="P225" s="20"/>
      <c r="Q225" s="392">
        <f ca="1">H225</f>
        <v>62</v>
      </c>
      <c r="R225" s="446"/>
    </row>
    <row r="226" spans="1:18" ht="15.75" customHeight="1">
      <c r="C226" s="164" t="s">
        <v>13</v>
      </c>
      <c r="D226" s="347" t="str" cm="1">
        <f t="array" aca="1" ref="D226" ca="1">INDIRECT("'Worksheet'!$W"&amp;$B217)</f>
        <v>5th Avenue 72</v>
      </c>
      <c r="E226" s="22"/>
      <c r="F226" s="23"/>
      <c r="G226" s="22"/>
      <c r="H226" s="391" cm="1">
        <f t="array" aca="1" ref="H226" ca="1">INDIRECT("'Worksheet'!$P"&amp;$B217)</f>
        <v>74</v>
      </c>
      <c r="I226" s="447"/>
      <c r="L226" s="164" t="s">
        <v>13</v>
      </c>
      <c r="M226" s="21" t="str">
        <f t="shared" ca="1" si="16"/>
        <v>5th Avenue 72</v>
      </c>
      <c r="N226" s="22"/>
      <c r="O226" s="23"/>
      <c r="P226" s="22"/>
      <c r="Q226" s="392">
        <f ca="1">H226</f>
        <v>74</v>
      </c>
      <c r="R226" s="447"/>
    </row>
    <row r="227" spans="1:18" ht="23.25">
      <c r="C227" s="348" cm="1">
        <f t="array" aca="1" ref="C227" ca="1">INDIRECT("'Worksheet'!$J"&amp;$B217)</f>
        <v>0</v>
      </c>
      <c r="D227" s="444" t="str" cm="1">
        <f t="array" aca="1" ref="D227" ca="1">IF(INDIRECT("'Worksheet'!$D"&amp;$B217)=1, "Left of Pair", IF(INDIRECT("'Worksheet'!$E"&amp;$B217)=1, "Panel"))</f>
        <v>Left of Pair</v>
      </c>
      <c r="E227" s="444"/>
      <c r="F227" s="444"/>
      <c r="G227" s="374"/>
      <c r="H227" s="374" t="str" cm="1">
        <f t="array" aca="1" ref="H227" ca="1">IF(INDIRECT("'Worksheet'!$F"&amp;$B217)="st","SOR T&amp;B"," ")</f>
        <v xml:space="preserve"> </v>
      </c>
      <c r="I227" s="415">
        <f>IF(Worksheet!$D$46&gt;0,Worksheet!$D$46," ")</f>
        <v>30</v>
      </c>
      <c r="L227" s="41">
        <f ca="1">$C227</f>
        <v>0</v>
      </c>
      <c r="M227" s="444" t="str" cm="1">
        <f t="array" aca="1" ref="M227" ca="1">IF(INDIRECT("'Worksheet'!$D"&amp;$B217)=1, "Right of Pair", IF(INDIRECT("'Worksheet'!$E"&amp;$B217)=1, "Do Not Use"))</f>
        <v>Right of Pair</v>
      </c>
      <c r="N227" s="444"/>
      <c r="O227" s="444"/>
      <c r="P227" s="374"/>
      <c r="Q227" s="374"/>
      <c r="R227" s="415">
        <f>IF(Worksheet!$D$46&gt;0,Worksheet!$D$46," ")</f>
        <v>30</v>
      </c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+Worksheet!$W$4</f>
        <v>Windcrest WO#J5121027-00234.01</v>
      </c>
      <c r="E231" s="22"/>
      <c r="F231" s="23"/>
      <c r="G231" s="22"/>
      <c r="H231" s="24"/>
      <c r="I231" s="25">
        <f>+Worksheet!$AR$1</f>
        <v>0</v>
      </c>
      <c r="J231" s="26"/>
      <c r="L231" s="164" t="s">
        <v>113</v>
      </c>
      <c r="M231" s="21" t="str">
        <f>+Worksheet!$W$4</f>
        <v>Windcrest WO#J5121027-00234.01</v>
      </c>
      <c r="N231" s="22"/>
      <c r="O231" s="23"/>
      <c r="P231" s="22"/>
      <c r="Q231" s="24"/>
      <c r="R231" s="25">
        <f>+Worksheet!$AR$1</f>
        <v>0</v>
      </c>
    </row>
    <row r="232" spans="1:18" ht="32.25">
      <c r="C232" s="165" t="s">
        <v>128</v>
      </c>
      <c r="D232" s="150" cm="1">
        <f t="array" aca="1" ref="D232" ca="1">INDIRECT("'Worksheet'!$K"&amp;$B231)</f>
        <v>54</v>
      </c>
      <c r="E232" s="151" t="s">
        <v>115</v>
      </c>
      <c r="F232" s="150" cm="1">
        <f t="array" aca="1" ref="F232" ca="1">INDIRECT("'Worksheet'!$M"&amp;$B231)</f>
        <v>13</v>
      </c>
      <c r="G232" s="151" t="s">
        <v>122</v>
      </c>
      <c r="H232" s="150" cm="1">
        <f t="array" aca="1" ref="H232" ca="1">INDIRECT("'Worksheet'!$O"&amp;$B231)</f>
        <v>100</v>
      </c>
      <c r="I232" s="29" t="str">
        <f>+IF(Worksheet!$R$34=1,"Install",IF(Worksheet!$R$34=2,"Ship",IF(Worksheet!$R$34=3,"Deliver",IF(Worksheet!$R$34=4,"Will Call"))))</f>
        <v>Install</v>
      </c>
      <c r="J232" s="30"/>
      <c r="L232" s="165" t="s">
        <v>128</v>
      </c>
      <c r="M232" s="150">
        <f t="shared" ref="M232:M240" ca="1" si="17">D232</f>
        <v>54</v>
      </c>
      <c r="N232" s="151" t="s">
        <v>115</v>
      </c>
      <c r="O232" s="152">
        <f ca="1">F232</f>
        <v>13</v>
      </c>
      <c r="P232" s="151" t="s">
        <v>122</v>
      </c>
      <c r="Q232" s="153">
        <f ca="1">H232</f>
        <v>100</v>
      </c>
      <c r="R232" s="29" t="str">
        <f>+IF(Worksheet!$R$34=1,"Install",IF(Worksheet!$R$34=2,"Ship",IF(Worksheet!$R$34=3,"Deliver",IF(Worksheet!$R$34=4,"Will Call"))))</f>
        <v>Install</v>
      </c>
    </row>
    <row r="233" spans="1:18" ht="12.75" customHeight="1">
      <c r="C233" s="164" t="s">
        <v>121</v>
      </c>
      <c r="D233" s="19">
        <f ca="1">+IF($D241="Left of Pair",((D232+F232)*Worksheet!$AE$7)/2,IF($D241="Panel",(D232+F232)*Worksheet!$AE$7,IF($H241="SOR",D232*2.5+6,IF($H241="SOR T&amp;B",D232*2.5+6))))</f>
        <v>83.75</v>
      </c>
      <c r="E233" s="19" t="s">
        <v>122</v>
      </c>
      <c r="F233" s="369">
        <f ca="1">H232+15</f>
        <v>115</v>
      </c>
      <c r="G233" s="448" cm="1">
        <f t="array" aca="1" ref="G233" ca="1">INDIRECT("'Worksheet'!$Y"&amp;$B231)</f>
        <v>0</v>
      </c>
      <c r="H233" s="448"/>
      <c r="I233" s="449"/>
      <c r="L233" s="164" t="s">
        <v>121</v>
      </c>
      <c r="M233">
        <f t="shared" ca="1" si="17"/>
        <v>83.75</v>
      </c>
      <c r="N233" s="19" t="s">
        <v>122</v>
      </c>
      <c r="O233" s="369">
        <f ca="1">F233</f>
        <v>115</v>
      </c>
      <c r="P233" s="450">
        <f ca="1">G233</f>
        <v>0</v>
      </c>
      <c r="Q233" s="450"/>
      <c r="R233" s="451"/>
    </row>
    <row r="234" spans="1:18" ht="19.5" customHeight="1">
      <c r="C234" s="166"/>
      <c r="D234" s="161" cm="1">
        <f t="array" aca="1" ref="D234" ca="1">IF($D241="Left of Pair",INDIRECT("'Worksheet'!$Q"&amp;$B231)/2,IF($D241="Panel",INDIRECT("'Worksheet'!$Q"&amp;$B231)))</f>
        <v>1.1499999999999999</v>
      </c>
      <c r="E234" s="42" t="s">
        <v>41</v>
      </c>
      <c r="F234" s="370"/>
      <c r="G234" s="448"/>
      <c r="H234" s="448"/>
      <c r="I234" s="449"/>
      <c r="L234" s="166"/>
      <c r="M234" s="161">
        <f t="shared" ca="1" si="17"/>
        <v>1.1499999999999999</v>
      </c>
      <c r="N234" s="42" t="s">
        <v>41</v>
      </c>
      <c r="O234" s="370"/>
      <c r="P234" s="450"/>
      <c r="Q234" s="452"/>
      <c r="R234" s="453"/>
    </row>
    <row r="235" spans="1:18" ht="15.75">
      <c r="C235" s="164" t="s">
        <v>135</v>
      </c>
      <c r="D235" s="19">
        <f ca="1">+IF(D239="yes",IF($D241="Left of Pair",($D236*$H239),IF($D241="Panel",$D236*$H239,IF($H241="SOR",$D236*$H239," ")))," ")</f>
        <v>83.7</v>
      </c>
      <c r="E235" s="19" t="s">
        <v>122</v>
      </c>
      <c r="F235" s="369">
        <f ca="1">IF(D239="YES",H232+12," ")</f>
        <v>112</v>
      </c>
      <c r="H235" s="343" t="s">
        <v>10</v>
      </c>
      <c r="I235" s="371" cm="1">
        <f t="array" aca="1" ref="I235" ca="1">INDIRECT("'Worksheet'!$Q"&amp;B231)</f>
        <v>2.2999999999999998</v>
      </c>
      <c r="L235" s="164" t="s">
        <v>135</v>
      </c>
      <c r="M235">
        <f t="shared" ca="1" si="17"/>
        <v>83.7</v>
      </c>
      <c r="N235" s="19" t="s">
        <v>122</v>
      </c>
      <c r="O235" s="369">
        <f ca="1">F235</f>
        <v>112</v>
      </c>
      <c r="P235" s="19"/>
      <c r="Q235" s="343" t="s">
        <v>10</v>
      </c>
      <c r="R235" s="160">
        <f ca="1">I235</f>
        <v>2.2999999999999998</v>
      </c>
    </row>
    <row r="236" spans="1:18">
      <c r="C236" s="167"/>
      <c r="D236" s="161" cm="1">
        <f t="array" aca="1" ref="D236" ca="1">IF(D239="yes",IF($D241="Left of Pair",INDIRECT("'Worksheet'!$S"&amp;$B231)/2,IF($D241="Panel",INDIRECT("'Worksheet'!$S"&amp;$B231)))," ")</f>
        <v>1.35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33.5</v>
      </c>
      <c r="L236" s="167"/>
      <c r="M236" s="344">
        <f t="shared" ca="1" si="17"/>
        <v>1.35</v>
      </c>
      <c r="N236" s="345" t="s">
        <v>41</v>
      </c>
      <c r="O236" s="372"/>
      <c r="P236" s="20"/>
      <c r="Q236" s="343" t="s">
        <v>116</v>
      </c>
      <c r="R236" s="32">
        <f ca="1">I236</f>
        <v>33.5</v>
      </c>
    </row>
    <row r="237" spans="1:18" ht="12.75" customHeight="1">
      <c r="C237" s="168" t="s">
        <v>114</v>
      </c>
      <c r="D237" s="373" t="str" cm="1">
        <f t="array" aca="1" ref="D237" ca="1">INDIRECT("'Worksheet'!$B"&amp;$B231)</f>
        <v>Bishop Converse</v>
      </c>
      <c r="E237" s="22"/>
      <c r="F237" s="23"/>
      <c r="G237" s="22"/>
      <c r="H237" s="24"/>
      <c r="I237" s="445" t="str" cm="1">
        <f t="array" aca="1" ref="I237" ca="1">INDIRECT("'Worksheet'!$A"&amp;$B231)</f>
        <v>P1-18</v>
      </c>
      <c r="L237" s="168" t="s">
        <v>114</v>
      </c>
      <c r="M237" s="31" t="str">
        <f t="shared" ca="1" si="17"/>
        <v>Bishop Converse</v>
      </c>
      <c r="N237" s="20"/>
      <c r="O237" s="33"/>
      <c r="P237" s="27"/>
      <c r="Q237" s="24"/>
      <c r="R237" s="445" t="str">
        <f ca="1">I237</f>
        <v>P1-18</v>
      </c>
    </row>
    <row r="238" spans="1:18" ht="15.75" customHeight="1">
      <c r="C238" s="164" t="s">
        <v>117</v>
      </c>
      <c r="D238" s="346" cm="1">
        <f t="array" aca="1" ref="D238" ca="1">INDIRECT("'Worksheet'!$H"&amp;$B231)</f>
        <v>3.5</v>
      </c>
      <c r="E238" s="20"/>
      <c r="F238" s="169" t="s">
        <v>118</v>
      </c>
      <c r="G238" s="35"/>
      <c r="H238" s="36" t="str">
        <f>+IF(Worksheet!$R$38=TRUE,"Yes",IF(Worksheet!$R$38=FALSE,"No"))</f>
        <v>Yes</v>
      </c>
      <c r="I238" s="446"/>
      <c r="L238" s="164" t="s">
        <v>117</v>
      </c>
      <c r="M238" s="34">
        <f t="shared" ca="1" si="17"/>
        <v>3.5</v>
      </c>
      <c r="N238" s="20"/>
      <c r="O238" s="169" t="s">
        <v>118</v>
      </c>
      <c r="P238" s="35"/>
      <c r="Q238" s="36" t="str">
        <f>H238</f>
        <v>Yes</v>
      </c>
      <c r="R238" s="446"/>
    </row>
    <row r="239" spans="1:18" ht="15.75" customHeight="1">
      <c r="C239" s="164" t="s">
        <v>119</v>
      </c>
      <c r="D239" s="37" t="str">
        <f ca="1">IF($E239&gt;0,"YES"," ")</f>
        <v>YES</v>
      </c>
      <c r="E239" s="347" t="str" cm="1">
        <f t="array" aca="1" ref="E239" ca="1">INDIRECT("'Worksheet'!$X"&amp;$B231)</f>
        <v xml:space="preserve">Flameguard </v>
      </c>
      <c r="F239" s="39"/>
      <c r="G239" s="20"/>
      <c r="H239" s="391" cm="1">
        <f t="array" aca="1" ref="H239" ca="1">INDIRECT("'Worksheet'!$R"&amp;$B231)</f>
        <v>62</v>
      </c>
      <c r="I239" s="446"/>
      <c r="J239" s="40"/>
      <c r="L239" s="164" t="s">
        <v>119</v>
      </c>
      <c r="M239" s="37" t="str">
        <f t="shared" ca="1" si="17"/>
        <v>YES</v>
      </c>
      <c r="N239" s="38" t="str">
        <f ca="1">E239</f>
        <v xml:space="preserve">Flameguard </v>
      </c>
      <c r="O239" s="39"/>
      <c r="P239" s="20"/>
      <c r="Q239" s="392">
        <f ca="1">H239</f>
        <v>62</v>
      </c>
      <c r="R239" s="446"/>
    </row>
    <row r="240" spans="1:18" ht="15.75" customHeight="1">
      <c r="C240" s="164" t="s">
        <v>13</v>
      </c>
      <c r="D240" s="347" t="str" cm="1">
        <f t="array" aca="1" ref="D240" ca="1">INDIRECT("'Worksheet'!$W"&amp;$B231)</f>
        <v>5th Avenue 72</v>
      </c>
      <c r="E240" s="22"/>
      <c r="F240" s="23"/>
      <c r="G240" s="22"/>
      <c r="H240" s="391" cm="1">
        <f t="array" aca="1" ref="H240" ca="1">INDIRECT("'Worksheet'!$P"&amp;$B231)</f>
        <v>74</v>
      </c>
      <c r="I240" s="447"/>
      <c r="L240" s="164" t="s">
        <v>13</v>
      </c>
      <c r="M240" s="21" t="str">
        <f t="shared" ca="1" si="17"/>
        <v>5th Avenue 72</v>
      </c>
      <c r="N240" s="22"/>
      <c r="O240" s="23"/>
      <c r="P240" s="22"/>
      <c r="Q240" s="392">
        <f ca="1">H240</f>
        <v>74</v>
      </c>
      <c r="R240" s="447"/>
    </row>
    <row r="241" spans="1:18" ht="23.25">
      <c r="C241" s="348" cm="1">
        <f t="array" aca="1" ref="C241" ca="1">INDIRECT("'Worksheet'!$J"&amp;$B231)</f>
        <v>0</v>
      </c>
      <c r="D241" s="444" t="str" cm="1">
        <f t="array" aca="1" ref="D241" ca="1">IF(INDIRECT("'Worksheet'!$D"&amp;$B231)=1, "Left of Pair", IF(INDIRECT("'Worksheet'!$E"&amp;$B231)=1, "Panel"))</f>
        <v>Left of Pair</v>
      </c>
      <c r="E241" s="444"/>
      <c r="F241" s="444"/>
      <c r="G241" s="374"/>
      <c r="H241" s="374" t="str" cm="1">
        <f t="array" aca="1" ref="H241" ca="1">IF(INDIRECT("'Worksheet'!$F"&amp;$B231)="st","SOR T&amp;B"," ")</f>
        <v xml:space="preserve"> </v>
      </c>
      <c r="I241" s="415">
        <f>IF(Worksheet!$D$46&gt;0,Worksheet!$D$46," ")</f>
        <v>30</v>
      </c>
      <c r="L241" s="41">
        <f ca="1">$C241</f>
        <v>0</v>
      </c>
      <c r="M241" s="444" t="str" cm="1">
        <f t="array" aca="1" ref="M241" ca="1">IF(INDIRECT("'Worksheet'!$D"&amp;$B231)=1, "Right of Pair", IF(INDIRECT("'Worksheet'!$E"&amp;$B231)=1, "Do Not Use"))</f>
        <v>Right of Pair</v>
      </c>
      <c r="N241" s="444"/>
      <c r="O241" s="444"/>
      <c r="P241" s="374"/>
      <c r="Q241" s="374"/>
      <c r="R241" s="415">
        <f>IF(Worksheet!$D$46&gt;0,Worksheet!$D$46," ")</f>
        <v>30</v>
      </c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+Worksheet!$W$4</f>
        <v>Windcrest WO#J5121027-00234.01</v>
      </c>
      <c r="E245" s="22"/>
      <c r="F245" s="23"/>
      <c r="G245" s="22"/>
      <c r="H245" s="24"/>
      <c r="I245" s="25">
        <f>+Worksheet!$AR$1</f>
        <v>0</v>
      </c>
      <c r="J245" s="26"/>
      <c r="L245" s="164" t="s">
        <v>113</v>
      </c>
      <c r="M245" s="21" t="str">
        <f>+Worksheet!$W$4</f>
        <v>Windcrest WO#J5121027-00234.01</v>
      </c>
      <c r="N245" s="22"/>
      <c r="O245" s="23"/>
      <c r="P245" s="22"/>
      <c r="Q245" s="24"/>
      <c r="R245" s="25">
        <f>+Worksheet!$AR$1</f>
        <v>0</v>
      </c>
    </row>
    <row r="246" spans="1:18" ht="32.25">
      <c r="C246" s="165" t="s">
        <v>128</v>
      </c>
      <c r="D246" s="150" cm="1">
        <f t="array" aca="1" ref="D246" ca="1">INDIRECT("'Worksheet'!$K"&amp;$B245)</f>
        <v>48</v>
      </c>
      <c r="E246" s="151" t="s">
        <v>115</v>
      </c>
      <c r="F246" s="150" cm="1">
        <f t="array" aca="1" ref="F246" ca="1">INDIRECT("'Worksheet'!$M"&amp;$B245)</f>
        <v>6.5</v>
      </c>
      <c r="G246" s="151" t="s">
        <v>122</v>
      </c>
      <c r="H246" s="150" cm="1">
        <f t="array" aca="1" ref="H246" ca="1">INDIRECT("'Worksheet'!$O"&amp;$B245)</f>
        <v>104</v>
      </c>
      <c r="I246" s="29" t="str">
        <f>+IF(Worksheet!$R$34=1,"Install",IF(Worksheet!$R$34=2,"Ship",IF(Worksheet!$R$34=3,"Deliver",IF(Worksheet!$R$34=4,"Will Call"))))</f>
        <v>Install</v>
      </c>
      <c r="J246" s="30"/>
      <c r="L246" s="165" t="s">
        <v>128</v>
      </c>
      <c r="M246" s="150">
        <f t="shared" ref="M246:M254" ca="1" si="18">D246</f>
        <v>48</v>
      </c>
      <c r="N246" s="151" t="s">
        <v>115</v>
      </c>
      <c r="O246" s="152">
        <f ca="1">F246</f>
        <v>6.5</v>
      </c>
      <c r="P246" s="151" t="s">
        <v>122</v>
      </c>
      <c r="Q246" s="153">
        <f ca="1">H246</f>
        <v>104</v>
      </c>
      <c r="R246" s="29" t="str">
        <f>+IF(Worksheet!$R$34=1,"Install",IF(Worksheet!$R$34=2,"Ship",IF(Worksheet!$R$34=3,"Deliver",IF(Worksheet!$R$34=4,"Will Call"))))</f>
        <v>Install</v>
      </c>
    </row>
    <row r="247" spans="1:18" ht="12.75" customHeight="1">
      <c r="C247" s="164" t="s">
        <v>121</v>
      </c>
      <c r="D247" s="19">
        <f ca="1">+IF($D255="Left of Pair",((D246+F246)*Worksheet!$AE$7)/2,IF($D255="Panel",(D246+F246)*Worksheet!$AE$7,IF($H255="SOR",D246*2.5+6,IF($H255="SOR T&amp;B",D246*2.5+6))))</f>
        <v>136.25</v>
      </c>
      <c r="E247" s="19" t="s">
        <v>122</v>
      </c>
      <c r="F247" s="369">
        <f ca="1">H246+15</f>
        <v>119</v>
      </c>
      <c r="G247" s="448" cm="1">
        <f t="array" aca="1" ref="G247" ca="1">INDIRECT("'Worksheet'!$Y"&amp;$B245)</f>
        <v>0</v>
      </c>
      <c r="H247" s="448"/>
      <c r="I247" s="449"/>
      <c r="L247" s="164" t="s">
        <v>121</v>
      </c>
      <c r="M247">
        <f t="shared" ca="1" si="18"/>
        <v>136.25</v>
      </c>
      <c r="N247" s="19" t="s">
        <v>122</v>
      </c>
      <c r="O247" s="369">
        <f ca="1">F247</f>
        <v>119</v>
      </c>
      <c r="P247" s="450">
        <f ca="1">G247</f>
        <v>0</v>
      </c>
      <c r="Q247" s="450"/>
      <c r="R247" s="451"/>
    </row>
    <row r="248" spans="1:18" ht="19.5" customHeight="1">
      <c r="C248" s="166"/>
      <c r="D248" s="161" cm="1">
        <f t="array" aca="1" ref="D248" ca="1">IF($D255="Left of Pair",INDIRECT("'Worksheet'!$Q"&amp;$B245)/2,IF($D255="Panel",INDIRECT("'Worksheet'!$Q"&amp;$B245)))</f>
        <v>1.85</v>
      </c>
      <c r="E248" s="42" t="s">
        <v>41</v>
      </c>
      <c r="F248" s="370"/>
      <c r="G248" s="448"/>
      <c r="H248" s="448"/>
      <c r="I248" s="449"/>
      <c r="L248" s="166"/>
      <c r="M248" s="161">
        <f t="shared" ca="1" si="18"/>
        <v>1.85</v>
      </c>
      <c r="N248" s="42" t="s">
        <v>41</v>
      </c>
      <c r="O248" s="370"/>
      <c r="P248" s="450"/>
      <c r="Q248" s="452"/>
      <c r="R248" s="453"/>
    </row>
    <row r="249" spans="1:18" ht="15.75">
      <c r="C249" s="164" t="s">
        <v>135</v>
      </c>
      <c r="D249" s="19">
        <f ca="1">+IF(D253="yes",IF($D255="Left of Pair",($D250*$H253),IF($D255="Panel",$D250*$H253,IF($H255="SOR",$D250*$H253," ")))," ")</f>
        <v>136.4</v>
      </c>
      <c r="E249" s="19" t="s">
        <v>122</v>
      </c>
      <c r="F249" s="369">
        <f ca="1">IF(D253="YES",H246+12," ")</f>
        <v>116</v>
      </c>
      <c r="H249" s="343" t="s">
        <v>10</v>
      </c>
      <c r="I249" s="371" cm="1">
        <f t="array" aca="1" ref="I249" ca="1">INDIRECT("'Worksheet'!$Q"&amp;B245)</f>
        <v>1.85</v>
      </c>
      <c r="L249" s="164" t="s">
        <v>135</v>
      </c>
      <c r="M249">
        <f t="shared" ca="1" si="18"/>
        <v>136.4</v>
      </c>
      <c r="N249" s="19" t="s">
        <v>122</v>
      </c>
      <c r="O249" s="369">
        <f ca="1">F249</f>
        <v>116</v>
      </c>
      <c r="P249" s="19"/>
      <c r="Q249" s="343" t="s">
        <v>10</v>
      </c>
      <c r="R249" s="160">
        <f ca="1">I249</f>
        <v>1.85</v>
      </c>
    </row>
    <row r="250" spans="1:18">
      <c r="C250" s="167"/>
      <c r="D250" s="161" cm="1">
        <f t="array" aca="1" ref="D250" ca="1">IF(D253="yes",IF($D255="Left of Pair",INDIRECT("'Worksheet'!$S"&amp;$B245)/2,IF($D255="Panel",INDIRECT("'Worksheet'!$S"&amp;$B245)))," ")</f>
        <v>2.2000000000000002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54.5</v>
      </c>
      <c r="L250" s="167"/>
      <c r="M250" s="344">
        <f t="shared" ca="1" si="18"/>
        <v>2.2000000000000002</v>
      </c>
      <c r="N250" s="345" t="s">
        <v>41</v>
      </c>
      <c r="O250" s="372"/>
      <c r="P250" s="20"/>
      <c r="Q250" s="343" t="s">
        <v>116</v>
      </c>
      <c r="R250" s="32">
        <f ca="1">I250</f>
        <v>54.5</v>
      </c>
    </row>
    <row r="251" spans="1:18" ht="12.75" customHeight="1">
      <c r="C251" s="168" t="s">
        <v>114</v>
      </c>
      <c r="D251" s="373" t="str" cm="1">
        <f t="array" aca="1" ref="D251" ca="1">INDIRECT("'Worksheet'!$B"&amp;$B245)</f>
        <v>Clerk</v>
      </c>
      <c r="E251" s="22"/>
      <c r="F251" s="23"/>
      <c r="G251" s="22"/>
      <c r="H251" s="24"/>
      <c r="I251" s="445" t="str" cm="1">
        <f t="array" aca="1" ref="I251" ca="1">INDIRECT("'Worksheet'!$A"&amp;$B245)</f>
        <v>P1-19</v>
      </c>
      <c r="L251" s="168" t="s">
        <v>114</v>
      </c>
      <c r="M251" s="31" t="str">
        <f t="shared" ca="1" si="18"/>
        <v>Clerk</v>
      </c>
      <c r="N251" s="20"/>
      <c r="O251" s="33"/>
      <c r="P251" s="27"/>
      <c r="Q251" s="24"/>
      <c r="R251" s="445" t="str">
        <f ca="1">I251</f>
        <v>P1-19</v>
      </c>
    </row>
    <row r="252" spans="1:18" ht="15.75" customHeight="1">
      <c r="C252" s="164" t="s">
        <v>117</v>
      </c>
      <c r="D252" s="346" cm="1">
        <f t="array" aca="1" ref="D252" ca="1">INDIRECT("'Worksheet'!$H"&amp;$B245)</f>
        <v>3.5</v>
      </c>
      <c r="E252" s="20"/>
      <c r="F252" s="169" t="s">
        <v>118</v>
      </c>
      <c r="G252" s="35"/>
      <c r="H252" s="36" t="str">
        <f>+IF(Worksheet!$R$38=TRUE,"Yes",IF(Worksheet!$R$38=FALSE,"No"))</f>
        <v>Yes</v>
      </c>
      <c r="I252" s="446"/>
      <c r="L252" s="164" t="s">
        <v>117</v>
      </c>
      <c r="M252" s="34">
        <f t="shared" ca="1" si="18"/>
        <v>3.5</v>
      </c>
      <c r="N252" s="20"/>
      <c r="O252" s="169" t="s">
        <v>118</v>
      </c>
      <c r="P252" s="35"/>
      <c r="Q252" s="36" t="str">
        <f>H252</f>
        <v>Yes</v>
      </c>
      <c r="R252" s="446"/>
    </row>
    <row r="253" spans="1:18" ht="15.75" customHeight="1">
      <c r="C253" s="164" t="s">
        <v>119</v>
      </c>
      <c r="D253" s="37" t="str">
        <f ca="1">IF($E253&gt;0,"YES"," ")</f>
        <v>YES</v>
      </c>
      <c r="E253" s="347" t="str" cm="1">
        <f t="array" aca="1" ref="E253" ca="1">INDIRECT("'Worksheet'!$X"&amp;$B245)</f>
        <v xml:space="preserve">Flameguard </v>
      </c>
      <c r="F253" s="39"/>
      <c r="G253" s="20"/>
      <c r="H253" s="391" cm="1">
        <f t="array" aca="1" ref="H253" ca="1">INDIRECT("'Worksheet'!$R"&amp;$B245)</f>
        <v>62</v>
      </c>
      <c r="I253" s="446"/>
      <c r="J253" s="40"/>
      <c r="L253" s="164" t="s">
        <v>119</v>
      </c>
      <c r="M253" s="37" t="str">
        <f t="shared" ca="1" si="18"/>
        <v>YES</v>
      </c>
      <c r="N253" s="38" t="str">
        <f ca="1">E253</f>
        <v xml:space="preserve">Flameguard </v>
      </c>
      <c r="O253" s="39"/>
      <c r="P253" s="20"/>
      <c r="Q253" s="392">
        <f ca="1">H253</f>
        <v>62</v>
      </c>
      <c r="R253" s="446"/>
    </row>
    <row r="254" spans="1:18" ht="15.75" customHeight="1">
      <c r="C254" s="164" t="s">
        <v>13</v>
      </c>
      <c r="D254" s="347" t="str" cm="1">
        <f t="array" aca="1" ref="D254" ca="1">INDIRECT("'Worksheet'!$W"&amp;$B245)</f>
        <v>5th Avenue 72</v>
      </c>
      <c r="E254" s="22"/>
      <c r="F254" s="23"/>
      <c r="G254" s="22"/>
      <c r="H254" s="391" cm="1">
        <f t="array" aca="1" ref="H254" ca="1">INDIRECT("'Worksheet'!$P"&amp;$B245)</f>
        <v>74</v>
      </c>
      <c r="I254" s="447"/>
      <c r="L254" s="164" t="s">
        <v>13</v>
      </c>
      <c r="M254" s="21" t="str">
        <f t="shared" ca="1" si="18"/>
        <v>5th Avenue 72</v>
      </c>
      <c r="N254" s="22"/>
      <c r="O254" s="23"/>
      <c r="P254" s="22"/>
      <c r="Q254" s="392">
        <f ca="1">H254</f>
        <v>74</v>
      </c>
      <c r="R254" s="447"/>
    </row>
    <row r="255" spans="1:18" ht="23.25">
      <c r="C255" s="348" t="str" cm="1">
        <f t="array" aca="1" ref="C255" ca="1">INDIRECT("'Worksheet'!$J"&amp;$B245)</f>
        <v>left</v>
      </c>
      <c r="D255" s="444" t="str" cm="1">
        <f t="array" aca="1" ref="D255" ca="1">IF(INDIRECT("'Worksheet'!$D"&amp;$B245)=1, "Left of Pair", IF(INDIRECT("'Worksheet'!$E"&amp;$B245)=1, "Panel"))</f>
        <v>Panel</v>
      </c>
      <c r="E255" s="444"/>
      <c r="F255" s="444"/>
      <c r="G255" s="374"/>
      <c r="H255" s="374" t="str" cm="1">
        <f t="array" aca="1" ref="H255" ca="1">IF(INDIRECT("'Worksheet'!$F"&amp;$B245)="st","SOR T&amp;B"," ")</f>
        <v xml:space="preserve"> </v>
      </c>
      <c r="I255" s="415">
        <f>IF(Worksheet!$D$46&gt;0,Worksheet!$D$46," ")</f>
        <v>30</v>
      </c>
      <c r="L255" s="41" t="str">
        <f ca="1">$C255</f>
        <v>left</v>
      </c>
      <c r="M255" s="444" t="str" cm="1">
        <f t="array" aca="1" ref="M255" ca="1">IF(INDIRECT("'Worksheet'!$D"&amp;$B245)=1, "Right of Pair", IF(INDIRECT("'Worksheet'!$E"&amp;$B245)=1, "Do Not Use"))</f>
        <v>Do Not Use</v>
      </c>
      <c r="N255" s="444"/>
      <c r="O255" s="444"/>
      <c r="P255" s="374"/>
      <c r="Q255" s="374"/>
      <c r="R255" s="415">
        <f>IF(Worksheet!$D$46&gt;0,Worksheet!$D$46," ")</f>
        <v>30</v>
      </c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+Worksheet!$W$4</f>
        <v>Windcrest WO#J5121027-00234.01</v>
      </c>
      <c r="E259" s="22"/>
      <c r="F259" s="23"/>
      <c r="G259" s="22"/>
      <c r="H259" s="24"/>
      <c r="I259" s="25">
        <f>+Worksheet!$AR$1</f>
        <v>0</v>
      </c>
      <c r="J259" s="26"/>
      <c r="L259" s="164" t="s">
        <v>113</v>
      </c>
      <c r="M259" s="21" t="str">
        <f>+Worksheet!$W$4</f>
        <v>Windcrest WO#J5121027-00234.01</v>
      </c>
      <c r="N259" s="22"/>
      <c r="O259" s="23"/>
      <c r="P259" s="22"/>
      <c r="Q259" s="24"/>
      <c r="R259" s="25">
        <f>+Worksheet!$AR$1</f>
        <v>0</v>
      </c>
    </row>
    <row r="260" spans="1:18" ht="32.25">
      <c r="C260" s="165" t="s">
        <v>128</v>
      </c>
      <c r="D260" s="150" cm="1">
        <f t="array" aca="1" ref="D260" ca="1">INDIRECT("'Worksheet'!$K"&amp;$B259)</f>
        <v>60</v>
      </c>
      <c r="E260" s="151" t="s">
        <v>115</v>
      </c>
      <c r="F260" s="150" cm="1">
        <f t="array" aca="1" ref="F260" ca="1">INDIRECT("'Worksheet'!$M"&amp;$B259)</f>
        <v>13</v>
      </c>
      <c r="G260" s="151" t="s">
        <v>122</v>
      </c>
      <c r="H260" s="150" cm="1">
        <f t="array" aca="1" ref="H260" ca="1">INDIRECT("'Worksheet'!$O"&amp;$B259)</f>
        <v>84</v>
      </c>
      <c r="I260" s="29" t="str">
        <f>+IF(Worksheet!$R$34=1,"Install",IF(Worksheet!$R$34=2,"Ship",IF(Worksheet!$R$34=3,"Deliver",IF(Worksheet!$R$34=4,"Will Call"))))</f>
        <v>Install</v>
      </c>
      <c r="J260" s="30"/>
      <c r="L260" s="165" t="s">
        <v>128</v>
      </c>
      <c r="M260" s="150">
        <f t="shared" ref="M260:M268" ca="1" si="19">D260</f>
        <v>60</v>
      </c>
      <c r="N260" s="151" t="s">
        <v>115</v>
      </c>
      <c r="O260" s="152">
        <f ca="1">F260</f>
        <v>13</v>
      </c>
      <c r="P260" s="151" t="s">
        <v>122</v>
      </c>
      <c r="Q260" s="153">
        <f ca="1">H260</f>
        <v>84</v>
      </c>
      <c r="R260" s="29" t="str">
        <f>+IF(Worksheet!$R$34=1,"Install",IF(Worksheet!$R$34=2,"Ship",IF(Worksheet!$R$34=3,"Deliver",IF(Worksheet!$R$34=4,"Will Call"))))</f>
        <v>Install</v>
      </c>
    </row>
    <row r="261" spans="1:18" ht="12.75" customHeight="1">
      <c r="C261" s="164" t="s">
        <v>121</v>
      </c>
      <c r="D261" s="19">
        <f ca="1">+IF($D269="Left of Pair",((D260+F260)*Worksheet!$AE$7)/2,IF($D269="Panel",(D260+F260)*Worksheet!$AE$7,IF($H269="SOR",D260*2.5+6,IF($H269="SOR T&amp;B",D260*2.5+6))))</f>
        <v>91.25</v>
      </c>
      <c r="E261" s="19" t="s">
        <v>122</v>
      </c>
      <c r="F261" s="369">
        <f ca="1">H260+15</f>
        <v>99</v>
      </c>
      <c r="G261" s="448" cm="1">
        <f t="array" aca="1" ref="G261" ca="1">INDIRECT("'Worksheet'!$Y"&amp;$B259)</f>
        <v>0</v>
      </c>
      <c r="H261" s="448"/>
      <c r="I261" s="449"/>
      <c r="L261" s="164" t="s">
        <v>121</v>
      </c>
      <c r="M261">
        <f t="shared" ca="1" si="19"/>
        <v>91.25</v>
      </c>
      <c r="N261" s="19" t="s">
        <v>122</v>
      </c>
      <c r="O261" s="369">
        <f ca="1">F261</f>
        <v>99</v>
      </c>
      <c r="P261" s="450">
        <f ca="1">G261</f>
        <v>0</v>
      </c>
      <c r="Q261" s="450"/>
      <c r="R261" s="451"/>
    </row>
    <row r="262" spans="1:18" ht="19.5" customHeight="1">
      <c r="C262" s="166"/>
      <c r="D262" s="161" cm="1">
        <f t="array" aca="1" ref="D262" ca="1">IF($D269="Left of Pair",INDIRECT("'Worksheet'!$Q"&amp;$B259)/2,IF($D269="Panel",INDIRECT("'Worksheet'!$Q"&amp;$B259)))</f>
        <v>1.25</v>
      </c>
      <c r="E262" s="42" t="s">
        <v>41</v>
      </c>
      <c r="F262" s="370"/>
      <c r="G262" s="448"/>
      <c r="H262" s="448"/>
      <c r="I262" s="449"/>
      <c r="L262" s="166"/>
      <c r="M262" s="161">
        <f t="shared" ca="1" si="19"/>
        <v>1.25</v>
      </c>
      <c r="N262" s="42" t="s">
        <v>41</v>
      </c>
      <c r="O262" s="370"/>
      <c r="P262" s="450"/>
      <c r="Q262" s="452"/>
      <c r="R262" s="453"/>
    </row>
    <row r="263" spans="1:18" ht="15.75">
      <c r="C263" s="164" t="s">
        <v>135</v>
      </c>
      <c r="D263" s="19">
        <f ca="1">+IF(D267="yes",IF($D269="Left of Pair",($D264*$H267),IF($D269="Panel",$D264*$H267,IF($H269="SOR",$D264*$H267," ")))," ")</f>
        <v>89.899999999999991</v>
      </c>
      <c r="E263" s="19" t="s">
        <v>122</v>
      </c>
      <c r="F263" s="369">
        <f ca="1">IF(D267="YES",H260+12," ")</f>
        <v>96</v>
      </c>
      <c r="H263" s="343" t="s">
        <v>10</v>
      </c>
      <c r="I263" s="371" cm="1">
        <f t="array" aca="1" ref="I263" ca="1">INDIRECT("'Worksheet'!$Q"&amp;B259)</f>
        <v>2.5</v>
      </c>
      <c r="L263" s="164" t="s">
        <v>135</v>
      </c>
      <c r="M263">
        <f t="shared" ca="1" si="19"/>
        <v>89.899999999999991</v>
      </c>
      <c r="N263" s="19" t="s">
        <v>122</v>
      </c>
      <c r="O263" s="369">
        <f ca="1">F263</f>
        <v>96</v>
      </c>
      <c r="P263" s="19"/>
      <c r="Q263" s="343" t="s">
        <v>10</v>
      </c>
      <c r="R263" s="160">
        <f ca="1">I263</f>
        <v>2.5</v>
      </c>
    </row>
    <row r="264" spans="1:18">
      <c r="C264" s="167"/>
      <c r="D264" s="161" cm="1">
        <f t="array" aca="1" ref="D264" ca="1">IF(D267="yes",IF($D269="Left of Pair",INDIRECT("'Worksheet'!$S"&amp;$B259)/2,IF($D269="Panel",INDIRECT("'Worksheet'!$S"&amp;$B259)))," ")</f>
        <v>1.45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36.5</v>
      </c>
      <c r="L264" s="167"/>
      <c r="M264" s="344">
        <f t="shared" ca="1" si="19"/>
        <v>1.45</v>
      </c>
      <c r="N264" s="345" t="s">
        <v>41</v>
      </c>
      <c r="O264" s="372"/>
      <c r="P264" s="20"/>
      <c r="Q264" s="343" t="s">
        <v>116</v>
      </c>
      <c r="R264" s="32">
        <f ca="1">I264</f>
        <v>36.5</v>
      </c>
    </row>
    <row r="265" spans="1:18" ht="12.75" customHeight="1">
      <c r="C265" s="168" t="s">
        <v>114</v>
      </c>
      <c r="D265" s="373" t="str" cm="1">
        <f t="array" aca="1" ref="D265" ca="1">INDIRECT("'Worksheet'!$B"&amp;$B259)</f>
        <v>Bishop Windcrest</v>
      </c>
      <c r="E265" s="22"/>
      <c r="F265" s="23"/>
      <c r="G265" s="22"/>
      <c r="H265" s="24"/>
      <c r="I265" s="445" t="str" cm="1">
        <f t="array" aca="1" ref="I265" ca="1">INDIRECT("'Worksheet'!$A"&amp;$B259)</f>
        <v>P1-20</v>
      </c>
      <c r="L265" s="168" t="s">
        <v>114</v>
      </c>
      <c r="M265" s="31" t="str">
        <f t="shared" ca="1" si="19"/>
        <v>Bishop Windcrest</v>
      </c>
      <c r="N265" s="20"/>
      <c r="O265" s="33"/>
      <c r="P265" s="27"/>
      <c r="Q265" s="24"/>
      <c r="R265" s="445" t="str">
        <f ca="1">I265</f>
        <v>P1-20</v>
      </c>
    </row>
    <row r="266" spans="1:18" ht="15.75" customHeight="1">
      <c r="C266" s="164" t="s">
        <v>117</v>
      </c>
      <c r="D266" s="346" cm="1">
        <f t="array" aca="1" ref="D266" ca="1">INDIRECT("'Worksheet'!$H"&amp;$B259)</f>
        <v>3.5</v>
      </c>
      <c r="E266" s="20"/>
      <c r="F266" s="169" t="s">
        <v>118</v>
      </c>
      <c r="G266" s="35"/>
      <c r="H266" s="36" t="str">
        <f>+IF(Worksheet!$R$38=TRUE,"Yes",IF(Worksheet!$R$38=FALSE,"No"))</f>
        <v>Yes</v>
      </c>
      <c r="I266" s="446"/>
      <c r="L266" s="164" t="s">
        <v>117</v>
      </c>
      <c r="M266" s="34">
        <f t="shared" ca="1" si="19"/>
        <v>3.5</v>
      </c>
      <c r="N266" s="20"/>
      <c r="O266" s="169" t="s">
        <v>118</v>
      </c>
      <c r="P266" s="35"/>
      <c r="Q266" s="36" t="str">
        <f>H266</f>
        <v>Yes</v>
      </c>
      <c r="R266" s="446"/>
    </row>
    <row r="267" spans="1:18" ht="15.75" customHeight="1">
      <c r="C267" s="164" t="s">
        <v>119</v>
      </c>
      <c r="D267" s="37" t="str">
        <f ca="1">IF($E267&gt;0,"YES"," ")</f>
        <v>YES</v>
      </c>
      <c r="E267" s="347" t="str" cm="1">
        <f t="array" aca="1" ref="E267" ca="1">INDIRECT("'Worksheet'!$X"&amp;$B259)</f>
        <v xml:space="preserve">Flameguard </v>
      </c>
      <c r="F267" s="39"/>
      <c r="G267" s="20"/>
      <c r="H267" s="391" cm="1">
        <f t="array" aca="1" ref="H267" ca="1">INDIRECT("'Worksheet'!$R"&amp;$B259)</f>
        <v>62</v>
      </c>
      <c r="I267" s="446"/>
      <c r="J267" s="40"/>
      <c r="L267" s="164" t="s">
        <v>119</v>
      </c>
      <c r="M267" s="37" t="str">
        <f t="shared" ca="1" si="19"/>
        <v>YES</v>
      </c>
      <c r="N267" s="38" t="str">
        <f ca="1">E267</f>
        <v xml:space="preserve">Flameguard </v>
      </c>
      <c r="O267" s="39"/>
      <c r="P267" s="20"/>
      <c r="Q267" s="392">
        <f ca="1">H267</f>
        <v>62</v>
      </c>
      <c r="R267" s="446"/>
    </row>
    <row r="268" spans="1:18" ht="15.75" customHeight="1">
      <c r="C268" s="164" t="s">
        <v>13</v>
      </c>
      <c r="D268" s="347" t="str" cm="1">
        <f t="array" aca="1" ref="D268" ca="1">INDIRECT("'Worksheet'!$W"&amp;$B259)</f>
        <v>5th Avenue 72</v>
      </c>
      <c r="E268" s="22"/>
      <c r="F268" s="23"/>
      <c r="G268" s="22"/>
      <c r="H268" s="391" cm="1">
        <f t="array" aca="1" ref="H268" ca="1">INDIRECT("'Worksheet'!$P"&amp;$B259)</f>
        <v>74</v>
      </c>
      <c r="I268" s="447"/>
      <c r="L268" s="164" t="s">
        <v>13</v>
      </c>
      <c r="M268" s="21" t="str">
        <f t="shared" ca="1" si="19"/>
        <v>5th Avenue 72</v>
      </c>
      <c r="N268" s="22"/>
      <c r="O268" s="23"/>
      <c r="P268" s="22"/>
      <c r="Q268" s="392">
        <f ca="1">H268</f>
        <v>74</v>
      </c>
      <c r="R268" s="447"/>
    </row>
    <row r="269" spans="1:18" ht="23.25">
      <c r="C269" s="348" cm="1">
        <f t="array" aca="1" ref="C269" ca="1">INDIRECT("'Worksheet'!$J"&amp;$B259)</f>
        <v>0</v>
      </c>
      <c r="D269" s="444" t="str" cm="1">
        <f t="array" aca="1" ref="D269" ca="1">IF(INDIRECT("'Worksheet'!$D"&amp;$B259)=1, "Left of Pair", IF(INDIRECT("'Worksheet'!$E"&amp;$B259)=1, "Panel"))</f>
        <v>Left of Pair</v>
      </c>
      <c r="E269" s="444"/>
      <c r="F269" s="444"/>
      <c r="G269" s="374"/>
      <c r="H269" s="374" t="str" cm="1">
        <f t="array" aca="1" ref="H269" ca="1">IF(INDIRECT("'Worksheet'!$F"&amp;$B259)="st","SOR T&amp;B"," ")</f>
        <v xml:space="preserve"> </v>
      </c>
      <c r="I269" s="415">
        <f>IF(Worksheet!$D$46&gt;0,Worksheet!$D$46," ")</f>
        <v>30</v>
      </c>
      <c r="L269" s="41">
        <f ca="1">$C269</f>
        <v>0</v>
      </c>
      <c r="M269" s="444" t="str" cm="1">
        <f t="array" aca="1" ref="M269" ca="1">IF(INDIRECT("'Worksheet'!$D"&amp;$B259)=1, "Right of Pair", IF(INDIRECT("'Worksheet'!$E"&amp;$B259)=1, "Do Not Use"))</f>
        <v>Right of Pair</v>
      </c>
      <c r="N269" s="444"/>
      <c r="O269" s="444"/>
      <c r="P269" s="374"/>
      <c r="Q269" s="374"/>
      <c r="R269" s="415">
        <f>IF(Worksheet!$D$46&gt;0,Worksheet!$D$46," ")</f>
        <v>30</v>
      </c>
    </row>
  </sheetData>
  <mergeCells count="120">
    <mergeCell ref="G179:I180"/>
    <mergeCell ref="P179:R180"/>
    <mergeCell ref="G125:I126"/>
    <mergeCell ref="P125:R126"/>
    <mergeCell ref="M107:O107"/>
    <mergeCell ref="I89:I92"/>
    <mergeCell ref="R89:R92"/>
    <mergeCell ref="I103:I106"/>
    <mergeCell ref="R103:R106"/>
    <mergeCell ref="I129:I132"/>
    <mergeCell ref="I115:I118"/>
    <mergeCell ref="R115:R118"/>
    <mergeCell ref="R129:R132"/>
    <mergeCell ref="G3:I4"/>
    <mergeCell ref="P3:R4"/>
    <mergeCell ref="G17:I18"/>
    <mergeCell ref="P17:R18"/>
    <mergeCell ref="G31:I32"/>
    <mergeCell ref="P31:R32"/>
    <mergeCell ref="G45:I46"/>
    <mergeCell ref="P45:R46"/>
    <mergeCell ref="G57:I58"/>
    <mergeCell ref="P57:R58"/>
    <mergeCell ref="D11:F11"/>
    <mergeCell ref="M11:O11"/>
    <mergeCell ref="I7:I10"/>
    <mergeCell ref="R7:R10"/>
    <mergeCell ref="D53:F53"/>
    <mergeCell ref="M53:O53"/>
    <mergeCell ref="I21:I24"/>
    <mergeCell ref="R21:R24"/>
    <mergeCell ref="I35:I38"/>
    <mergeCell ref="R35:R38"/>
    <mergeCell ref="I49:I52"/>
    <mergeCell ref="R49:R52"/>
    <mergeCell ref="D25:F25"/>
    <mergeCell ref="M25:O25"/>
    <mergeCell ref="D39:F39"/>
    <mergeCell ref="M39:O39"/>
    <mergeCell ref="D119:F119"/>
    <mergeCell ref="M119:O119"/>
    <mergeCell ref="I61:I64"/>
    <mergeCell ref="R61:R64"/>
    <mergeCell ref="D65:F65"/>
    <mergeCell ref="M65:O65"/>
    <mergeCell ref="I75:I78"/>
    <mergeCell ref="R75:R78"/>
    <mergeCell ref="D79:F79"/>
    <mergeCell ref="M79:O79"/>
    <mergeCell ref="D107:F107"/>
    <mergeCell ref="D93:F93"/>
    <mergeCell ref="M93:O93"/>
    <mergeCell ref="G71:I72"/>
    <mergeCell ref="P71:R72"/>
    <mergeCell ref="G85:I86"/>
    <mergeCell ref="P85:R86"/>
    <mergeCell ref="G99:I100"/>
    <mergeCell ref="P99:R100"/>
    <mergeCell ref="G111:I112"/>
    <mergeCell ref="P111:R112"/>
    <mergeCell ref="D133:F133"/>
    <mergeCell ref="M133:O133"/>
    <mergeCell ref="I169:I172"/>
    <mergeCell ref="R169:R172"/>
    <mergeCell ref="D173:F173"/>
    <mergeCell ref="M173:O173"/>
    <mergeCell ref="I143:I146"/>
    <mergeCell ref="R143:R146"/>
    <mergeCell ref="G139:I140"/>
    <mergeCell ref="P139:R140"/>
    <mergeCell ref="G153:I154"/>
    <mergeCell ref="P153:R154"/>
    <mergeCell ref="D147:F147"/>
    <mergeCell ref="M147:O147"/>
    <mergeCell ref="G165:I166"/>
    <mergeCell ref="P165:R166"/>
    <mergeCell ref="I157:I160"/>
    <mergeCell ref="R157:R160"/>
    <mergeCell ref="D161:F161"/>
    <mergeCell ref="M161:O161"/>
    <mergeCell ref="D215:F215"/>
    <mergeCell ref="M215:O215"/>
    <mergeCell ref="I223:I226"/>
    <mergeCell ref="R223:R226"/>
    <mergeCell ref="G219:I220"/>
    <mergeCell ref="P219:R220"/>
    <mergeCell ref="D255:F255"/>
    <mergeCell ref="M255:O255"/>
    <mergeCell ref="M227:O227"/>
    <mergeCell ref="D227:F227"/>
    <mergeCell ref="G233:I234"/>
    <mergeCell ref="P233:R234"/>
    <mergeCell ref="D201:F201"/>
    <mergeCell ref="M201:O201"/>
    <mergeCell ref="G193:I194"/>
    <mergeCell ref="P193:R194"/>
    <mergeCell ref="G207:I208"/>
    <mergeCell ref="P207:R208"/>
    <mergeCell ref="I211:I214"/>
    <mergeCell ref="I183:I186"/>
    <mergeCell ref="R183:R186"/>
    <mergeCell ref="D187:F187"/>
    <mergeCell ref="R211:R214"/>
    <mergeCell ref="I197:I200"/>
    <mergeCell ref="R197:R200"/>
    <mergeCell ref="M187:O187"/>
    <mergeCell ref="D269:F269"/>
    <mergeCell ref="M269:O269"/>
    <mergeCell ref="I251:I254"/>
    <mergeCell ref="R251:R254"/>
    <mergeCell ref="I237:I240"/>
    <mergeCell ref="R237:R240"/>
    <mergeCell ref="D241:F241"/>
    <mergeCell ref="M241:O241"/>
    <mergeCell ref="I265:I268"/>
    <mergeCell ref="R265:R268"/>
    <mergeCell ref="G247:I248"/>
    <mergeCell ref="P247:R248"/>
    <mergeCell ref="G261:I262"/>
    <mergeCell ref="P261:R262"/>
  </mergeCells>
  <phoneticPr fontId="22" type="noConversion"/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0D38-780C-4C50-B4A4-D61A2FBB9007}">
  <dimension ref="A1:Z43"/>
  <sheetViews>
    <sheetView showGridLines="0" showZeros="0" view="pageBreakPreview" zoomScale="90" zoomScaleNormal="80" zoomScaleSheetLayoutView="90" workbookViewId="0">
      <selection activeCell="AE8" sqref="AE8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55" t="s">
        <v>2554</v>
      </c>
      <c r="P1" s="455"/>
      <c r="Q1" s="455"/>
      <c r="R1" s="455"/>
      <c r="S1" s="455"/>
      <c r="T1" s="47"/>
      <c r="U1" s="47"/>
      <c r="V1" s="47"/>
      <c r="X1" s="307" t="s">
        <v>2555</v>
      </c>
      <c r="Y1" s="308">
        <f>Worksheet!AR1</f>
        <v>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2556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1" t="s">
        <v>2531</v>
      </c>
      <c r="Q4" s="421"/>
      <c r="R4" s="418" t="str">
        <f>Worksheet!R4</f>
        <v>June 20 2025</v>
      </c>
      <c r="S4" s="418"/>
      <c r="T4" s="418"/>
      <c r="U4" s="171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56"/>
      <c r="X5" s="456"/>
      <c r="Y5" s="456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18"/>
      <c r="N6" s="318"/>
      <c r="O6" s="318"/>
      <c r="P6" s="57"/>
      <c r="Q6" s="172"/>
      <c r="R6" s="320"/>
      <c r="S6" s="57"/>
      <c r="T6" s="171"/>
      <c r="U6" s="75"/>
      <c r="V6" s="69" t="s">
        <v>4</v>
      </c>
      <c r="W6" s="454" t="str">
        <f>Worksheet!W4</f>
        <v>Windcrest WO#J5121027-00234.01</v>
      </c>
      <c r="X6" s="454"/>
      <c r="Y6" s="321"/>
      <c r="Z6" s="66"/>
    </row>
    <row r="7" spans="1:26" s="53" customFormat="1" ht="15.75" customHeight="1">
      <c r="A7" s="198"/>
      <c r="B7" s="314"/>
      <c r="C7" s="322"/>
      <c r="D7" s="319" t="s">
        <v>2558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66"/>
      <c r="W7" s="66"/>
      <c r="X7" s="66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114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81.5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81.5</v>
      </c>
      <c r="P11" s="250">
        <f>Worksheet!P11</f>
        <v>74</v>
      </c>
      <c r="Q11" s="324">
        <f>Worksheet!Q11</f>
        <v>1.8</v>
      </c>
      <c r="R11" s="250">
        <f>Worksheet!R11</f>
        <v>62</v>
      </c>
      <c r="S11" s="325">
        <f>Worksheet!S11</f>
        <v>2.1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115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36</v>
      </c>
      <c r="H12" s="114">
        <f>Worksheet!H12</f>
        <v>3.5</v>
      </c>
      <c r="I12" s="111">
        <f>Worksheet!I12</f>
        <v>83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36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83</v>
      </c>
      <c r="P12" s="250">
        <f>Worksheet!P12</f>
        <v>74</v>
      </c>
      <c r="Q12" s="324">
        <f>Worksheet!Q12</f>
        <v>1.7</v>
      </c>
      <c r="R12" s="250">
        <f>Worksheet!R12</f>
        <v>62</v>
      </c>
      <c r="S12" s="325">
        <f>Worksheet!S12</f>
        <v>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115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40</v>
      </c>
      <c r="H13" s="114">
        <f>Worksheet!H13</f>
        <v>3.5</v>
      </c>
      <c r="I13" s="111">
        <f>Worksheet!I13</f>
        <v>83</v>
      </c>
      <c r="J13" s="245">
        <f t="shared" si="1"/>
        <v>0</v>
      </c>
      <c r="K13" s="245">
        <f t="shared" si="2"/>
        <v>40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83</v>
      </c>
      <c r="P13" s="250">
        <f>Worksheet!P13</f>
        <v>74</v>
      </c>
      <c r="Q13" s="324">
        <f>Worksheet!Q13</f>
        <v>1.8</v>
      </c>
      <c r="R13" s="250">
        <f>Worksheet!R13</f>
        <v>62</v>
      </c>
      <c r="S13" s="325">
        <f>Worksheet!S13</f>
        <v>2.1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116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84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84</v>
      </c>
      <c r="P14" s="250">
        <f>Worksheet!P14</f>
        <v>74</v>
      </c>
      <c r="Q14" s="324">
        <f>Worksheet!Q14</f>
        <v>2.5</v>
      </c>
      <c r="R14" s="250">
        <f>Worksheet!R14</f>
        <v>62</v>
      </c>
      <c r="S14" s="325">
        <f>Worksheet!S14</f>
        <v>2.9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Bishop Woodlake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84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84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54</v>
      </c>
      <c r="H16" s="114">
        <f>Worksheet!H16</f>
        <v>3.5</v>
      </c>
      <c r="I16" s="111">
        <f>Worksheet!I16</f>
        <v>84</v>
      </c>
      <c r="J16" s="245">
        <f t="shared" si="1"/>
        <v>0</v>
      </c>
      <c r="K16" s="245">
        <f t="shared" si="2"/>
        <v>54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84</v>
      </c>
      <c r="P16" s="250">
        <f>Worksheet!P16</f>
        <v>74</v>
      </c>
      <c r="Q16" s="324">
        <f>Worksheet!Q16</f>
        <v>2.2999999999999998</v>
      </c>
      <c r="R16" s="250">
        <f>Worksheet!R16</f>
        <v>62</v>
      </c>
      <c r="S16" s="325">
        <f>Worksheet!S16</f>
        <v>2.7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Stake President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82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82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High Council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82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82</v>
      </c>
      <c r="P18" s="250">
        <f>Worksheet!P18</f>
        <v>74</v>
      </c>
      <c r="Q18" s="324">
        <f>Worksheet!Q18</f>
        <v>2.5</v>
      </c>
      <c r="R18" s="250">
        <f>Worksheet!R18</f>
        <v>62</v>
      </c>
      <c r="S18" s="325">
        <f>Worksheet!S18</f>
        <v>2.9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Foyers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40</v>
      </c>
      <c r="H19" s="114">
        <f>Worksheet!H19</f>
        <v>3.5</v>
      </c>
      <c r="I19" s="111">
        <f>Worksheet!I19</f>
        <v>107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107</v>
      </c>
      <c r="P19" s="250">
        <f>Worksheet!P19</f>
        <v>74</v>
      </c>
      <c r="Q19" s="324">
        <f>Worksheet!Q19</f>
        <v>1.8</v>
      </c>
      <c r="R19" s="250">
        <f>Worksheet!R19</f>
        <v>62</v>
      </c>
      <c r="S19" s="325">
        <f>Worksheet!S19</f>
        <v>2.1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Foyers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40</v>
      </c>
      <c r="H20" s="114">
        <f>Worksheet!H20</f>
        <v>3.5</v>
      </c>
      <c r="I20" s="111">
        <f>Worksheet!I20</f>
        <v>107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107</v>
      </c>
      <c r="P20" s="250">
        <f>Worksheet!P20</f>
        <v>74</v>
      </c>
      <c r="Q20" s="324">
        <f>Worksheet!Q20</f>
        <v>1.8</v>
      </c>
      <c r="R20" s="250">
        <f>Worksheet!R20</f>
        <v>62</v>
      </c>
      <c r="S20" s="325">
        <f>Worksheet!S20</f>
        <v>2.1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Foyers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40</v>
      </c>
      <c r="H21" s="114">
        <f>Worksheet!H21</f>
        <v>3.5</v>
      </c>
      <c r="I21" s="111">
        <f>Worksheet!I21</f>
        <v>107</v>
      </c>
      <c r="J21" s="245">
        <f t="shared" si="1"/>
        <v>0</v>
      </c>
      <c r="K21" s="245">
        <f t="shared" si="2"/>
        <v>40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107</v>
      </c>
      <c r="P21" s="250">
        <f>Worksheet!P21</f>
        <v>74</v>
      </c>
      <c r="Q21" s="324">
        <f>Worksheet!Q21</f>
        <v>1.8</v>
      </c>
      <c r="R21" s="250">
        <f>Worksheet!R21</f>
        <v>62</v>
      </c>
      <c r="S21" s="325">
        <f>Worksheet!S21</f>
        <v>2.1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Foyers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40</v>
      </c>
      <c r="H22" s="114">
        <f>Worksheet!H22</f>
        <v>3.5</v>
      </c>
      <c r="I22" s="111">
        <f>Worksheet!I22</f>
        <v>107</v>
      </c>
      <c r="J22" s="245">
        <f t="shared" si="1"/>
        <v>0</v>
      </c>
      <c r="K22" s="245">
        <f t="shared" si="2"/>
        <v>40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107</v>
      </c>
      <c r="P22" s="250">
        <f>Worksheet!P22</f>
        <v>74</v>
      </c>
      <c r="Q22" s="324">
        <f>Worksheet!Q22</f>
        <v>1.8</v>
      </c>
      <c r="R22" s="250">
        <f>Worksheet!R22</f>
        <v>62</v>
      </c>
      <c r="S22" s="325">
        <f>Worksheet!S22</f>
        <v>2.1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40</v>
      </c>
      <c r="H23" s="114">
        <f>Worksheet!H23</f>
        <v>3.8</v>
      </c>
      <c r="I23" s="111">
        <f>Worksheet!I23</f>
        <v>238</v>
      </c>
      <c r="J23" s="245">
        <f t="shared" si="1"/>
        <v>0</v>
      </c>
      <c r="K23" s="245">
        <f t="shared" si="2"/>
        <v>40</v>
      </c>
      <c r="L23" s="246" t="str">
        <f t="shared" si="3"/>
        <v>+</v>
      </c>
      <c r="M23" s="247">
        <f>Worksheet!M23</f>
        <v>13.6</v>
      </c>
      <c r="N23" s="248" t="str">
        <f t="shared" si="4"/>
        <v>x</v>
      </c>
      <c r="O23" s="249">
        <f t="shared" si="0"/>
        <v>238</v>
      </c>
      <c r="P23" s="250">
        <f>Worksheet!P23</f>
        <v>74</v>
      </c>
      <c r="Q23" s="324">
        <f>Worksheet!Q23</f>
        <v>1.85</v>
      </c>
      <c r="R23" s="250">
        <f>Worksheet!R23</f>
        <v>62</v>
      </c>
      <c r="S23" s="325">
        <f>Worksheet!S23</f>
        <v>2.1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Chapel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40</v>
      </c>
      <c r="H24" s="114">
        <f>Worksheet!H24</f>
        <v>3.8</v>
      </c>
      <c r="I24" s="111">
        <f>Worksheet!I24</f>
        <v>238</v>
      </c>
      <c r="J24" s="245">
        <f t="shared" si="1"/>
        <v>0</v>
      </c>
      <c r="K24" s="245">
        <f t="shared" si="2"/>
        <v>40</v>
      </c>
      <c r="L24" s="246" t="str">
        <f t="shared" si="3"/>
        <v>+</v>
      </c>
      <c r="M24" s="247">
        <f>Worksheet!M24</f>
        <v>13.6</v>
      </c>
      <c r="N24" s="248" t="str">
        <f t="shared" si="4"/>
        <v>x</v>
      </c>
      <c r="O24" s="249">
        <f t="shared" si="0"/>
        <v>238</v>
      </c>
      <c r="P24" s="250">
        <f>Worksheet!P24</f>
        <v>74</v>
      </c>
      <c r="Q24" s="324">
        <f>Worksheet!Q24</f>
        <v>1.85</v>
      </c>
      <c r="R24" s="250">
        <f>Worksheet!R24</f>
        <v>62</v>
      </c>
      <c r="S24" s="325">
        <f>Worksheet!S24</f>
        <v>2.1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Chapel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40</v>
      </c>
      <c r="H25" s="114">
        <f>Worksheet!H25</f>
        <v>3.8</v>
      </c>
      <c r="I25" s="111">
        <f>Worksheet!I25</f>
        <v>146</v>
      </c>
      <c r="J25" s="245">
        <f t="shared" si="1"/>
        <v>0</v>
      </c>
      <c r="K25" s="245">
        <f t="shared" si="2"/>
        <v>40</v>
      </c>
      <c r="L25" s="246" t="str">
        <f t="shared" si="3"/>
        <v>+</v>
      </c>
      <c r="M25" s="247">
        <f>Worksheet!M25</f>
        <v>13.6</v>
      </c>
      <c r="N25" s="248" t="str">
        <f t="shared" si="4"/>
        <v>x</v>
      </c>
      <c r="O25" s="249">
        <f t="shared" si="0"/>
        <v>146</v>
      </c>
      <c r="P25" s="250">
        <f>Worksheet!P25</f>
        <v>74</v>
      </c>
      <c r="Q25" s="324">
        <f>Worksheet!Q25</f>
        <v>1.85</v>
      </c>
      <c r="R25" s="250">
        <f>Worksheet!R25</f>
        <v>62</v>
      </c>
      <c r="S25" s="325">
        <f>Worksheet!S25</f>
        <v>2.1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Chapel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40</v>
      </c>
      <c r="H26" s="114">
        <f>Worksheet!H26</f>
        <v>3.8</v>
      </c>
      <c r="I26" s="111">
        <f>Worksheet!I26</f>
        <v>146</v>
      </c>
      <c r="J26" s="245">
        <f t="shared" si="1"/>
        <v>0</v>
      </c>
      <c r="K26" s="245">
        <f t="shared" si="2"/>
        <v>40</v>
      </c>
      <c r="L26" s="246" t="str">
        <f t="shared" si="3"/>
        <v>+</v>
      </c>
      <c r="M26" s="247">
        <f>Worksheet!M26</f>
        <v>13.6</v>
      </c>
      <c r="N26" s="248" t="str">
        <f t="shared" si="4"/>
        <v>x</v>
      </c>
      <c r="O26" s="249">
        <f t="shared" si="0"/>
        <v>146</v>
      </c>
      <c r="P26" s="250">
        <f>Worksheet!P26</f>
        <v>74</v>
      </c>
      <c r="Q26" s="324">
        <f>Worksheet!Q26</f>
        <v>1.85</v>
      </c>
      <c r="R26" s="250">
        <f>Worksheet!R26</f>
        <v>62</v>
      </c>
      <c r="S26" s="325">
        <f>Worksheet!S26</f>
        <v>2.1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Clerk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54</v>
      </c>
      <c r="H27" s="114">
        <f>Worksheet!H27</f>
        <v>3.5</v>
      </c>
      <c r="I27" s="111">
        <f>Worksheet!I27</f>
        <v>100</v>
      </c>
      <c r="J27" s="245">
        <f t="shared" si="1"/>
        <v>0</v>
      </c>
      <c r="K27" s="245">
        <f t="shared" si="2"/>
        <v>54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100</v>
      </c>
      <c r="P27" s="250">
        <f>Worksheet!P27</f>
        <v>74</v>
      </c>
      <c r="Q27" s="324">
        <f>Worksheet!Q27</f>
        <v>2.2999999999999998</v>
      </c>
      <c r="R27" s="250">
        <f>Worksheet!R27</f>
        <v>62</v>
      </c>
      <c r="S27" s="325">
        <f>Worksheet!S27</f>
        <v>2.7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Bishop Converse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54</v>
      </c>
      <c r="H28" s="114">
        <f>Worksheet!H28</f>
        <v>3.5</v>
      </c>
      <c r="I28" s="111">
        <f>Worksheet!I28</f>
        <v>100</v>
      </c>
      <c r="J28" s="245">
        <f t="shared" si="1"/>
        <v>0</v>
      </c>
      <c r="K28" s="245">
        <f t="shared" si="2"/>
        <v>54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100</v>
      </c>
      <c r="P28" s="250">
        <f>Worksheet!P28</f>
        <v>74</v>
      </c>
      <c r="Q28" s="324">
        <f>Worksheet!Q28</f>
        <v>2.2999999999999998</v>
      </c>
      <c r="R28" s="250">
        <f>Worksheet!R28</f>
        <v>62</v>
      </c>
      <c r="S28" s="325">
        <f>Worksheet!S28</f>
        <v>2.7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L</v>
      </c>
      <c r="G29" s="111">
        <f>Worksheet!G29</f>
        <v>48</v>
      </c>
      <c r="H29" s="114">
        <f>Worksheet!H29</f>
        <v>3.5</v>
      </c>
      <c r="I29" s="111">
        <f>Worksheet!I29</f>
        <v>104</v>
      </c>
      <c r="J29" s="245" t="str">
        <f t="shared" si="1"/>
        <v>left</v>
      </c>
      <c r="K29" s="245">
        <f t="shared" si="2"/>
        <v>48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104</v>
      </c>
      <c r="P29" s="250">
        <f>Worksheet!P29</f>
        <v>74</v>
      </c>
      <c r="Q29" s="324">
        <f>Worksheet!Q29</f>
        <v>1.85</v>
      </c>
      <c r="R29" s="250">
        <f>Worksheet!R29</f>
        <v>62</v>
      </c>
      <c r="S29" s="325">
        <f>Worksheet!S29</f>
        <v>2.2000000000000002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Windcrest</v>
      </c>
      <c r="C30" s="155" t="str">
        <f>Worksheet!C30</f>
        <v>X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84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84</v>
      </c>
      <c r="P30" s="250">
        <f>Worksheet!P30</f>
        <v>74</v>
      </c>
      <c r="Q30" s="324">
        <f>Worksheet!Q30</f>
        <v>2.5</v>
      </c>
      <c r="R30" s="250">
        <f>Worksheet!R30</f>
        <v>62</v>
      </c>
      <c r="S30" s="325">
        <f>Worksheet!S30</f>
        <v>2.9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 thickBot="1">
      <c r="A32" s="198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303" t="s">
        <v>2550</v>
      </c>
      <c r="Z32" s="342">
        <f>Worksheet!Z32</f>
        <v>230.5</v>
      </c>
    </row>
    <row r="33" spans="1:26" s="53" customFormat="1" ht="15.95" customHeight="1" thickBot="1">
      <c r="A33" s="198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  <c r="Y33" s="303" t="s">
        <v>2551</v>
      </c>
      <c r="Z33" s="342">
        <f>Worksheet!Z33</f>
        <v>254.875</v>
      </c>
    </row>
    <row r="34" spans="1:26" s="53" customFormat="1" ht="18" customHeight="1" thickBot="1">
      <c r="A34" s="198"/>
      <c r="B34" s="379"/>
      <c r="C34" s="43"/>
      <c r="D34" s="149"/>
      <c r="E34" s="43"/>
      <c r="F34" s="66"/>
      <c r="G34" s="57"/>
      <c r="H34" s="80"/>
      <c r="O34" s="304" t="s">
        <v>2552</v>
      </c>
      <c r="P34" s="342">
        <f>Worksheet!O34</f>
        <v>17.790000000000003</v>
      </c>
      <c r="Q34" s="43"/>
      <c r="R34" s="256">
        <f>Worksheet!R34</f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379"/>
      <c r="C35" s="43"/>
      <c r="D35" s="149"/>
      <c r="E35" s="43"/>
      <c r="F35" s="66"/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8">
    <mergeCell ref="V37:W37"/>
    <mergeCell ref="W6:X6"/>
    <mergeCell ref="C9:C10"/>
    <mergeCell ref="P9:P10"/>
    <mergeCell ref="O1:S1"/>
    <mergeCell ref="P4:Q4"/>
    <mergeCell ref="R4:T4"/>
    <mergeCell ref="W5:Y5"/>
  </mergeCells>
  <conditionalFormatting sqref="R4:T4">
    <cfRule type="containsBlanks" dxfId="6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2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229606-BEB2-4CE8-B597-7EFF51919312}">
  <dimension ref="A1:Z43"/>
  <sheetViews>
    <sheetView showGridLines="0" showZeros="0" view="pageBreakPreview" zoomScale="90" zoomScaleNormal="80" zoomScaleSheetLayoutView="90" workbookViewId="0">
      <selection activeCell="Q6" sqref="Q6:R7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>
      <c r="A1" s="198"/>
      <c r="B1" s="44"/>
      <c r="C1" s="44"/>
      <c r="D1" s="45"/>
      <c r="H1" s="46"/>
      <c r="O1" s="455" t="s">
        <v>2561</v>
      </c>
      <c r="P1" s="455"/>
      <c r="Q1" s="455"/>
      <c r="R1" s="455"/>
      <c r="S1" s="455"/>
      <c r="T1" s="47"/>
      <c r="U1" s="47"/>
      <c r="V1" s="47"/>
      <c r="Y1" s="48" t="s">
        <v>0</v>
      </c>
    </row>
    <row r="2" spans="1:26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64"/>
      <c r="C3" s="57"/>
      <c r="D3" s="123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64"/>
      <c r="C4" s="57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421" t="s">
        <v>2531</v>
      </c>
      <c r="Q4" s="421"/>
      <c r="R4" s="418" t="str">
        <f>Worksheet!R4</f>
        <v>June 20 2025</v>
      </c>
      <c r="S4" s="418"/>
      <c r="T4" s="418"/>
      <c r="U4" s="171"/>
      <c r="V4" s="69" t="s">
        <v>4</v>
      </c>
      <c r="W4" s="457" t="str">
        <f>Worksheet!W4</f>
        <v>Windcrest WO#J5121027-00234.01</v>
      </c>
      <c r="X4" s="457"/>
      <c r="Y4" s="207" t="s">
        <v>2297</v>
      </c>
      <c r="Z4" s="211">
        <f>Worksheet!Z4</f>
        <v>1</v>
      </c>
    </row>
    <row r="5" spans="1:26" s="53" customFormat="1" ht="15.95" customHeight="1" thickBot="1">
      <c r="A5" s="198"/>
      <c r="B5" s="64"/>
      <c r="C5" s="57"/>
      <c r="D5" s="337" t="s">
        <v>2557</v>
      </c>
      <c r="E5" s="323"/>
      <c r="F5" s="323"/>
      <c r="G5" s="323"/>
      <c r="H5" s="323"/>
      <c r="I5" s="318"/>
      <c r="J5" s="318"/>
      <c r="K5" s="318"/>
      <c r="L5" s="318"/>
      <c r="M5" s="318"/>
      <c r="N5" s="318"/>
      <c r="O5" s="318"/>
      <c r="P5" s="57"/>
      <c r="Q5" s="57"/>
      <c r="R5" s="57"/>
      <c r="T5" s="57"/>
      <c r="U5" s="57"/>
      <c r="V5" s="66"/>
      <c r="W5" s="432" t="str">
        <f>Worksheet!W5</f>
        <v>8801 Midcrown Dr</v>
      </c>
      <c r="X5" s="432"/>
      <c r="Y5" s="432"/>
      <c r="Z5" s="66"/>
    </row>
    <row r="6" spans="1:26" s="53" customFormat="1" ht="15.95" customHeight="1">
      <c r="A6" s="198"/>
      <c r="B6" s="64"/>
      <c r="C6" s="57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57"/>
      <c r="Q6" s="458">
        <f>Worksheet!AR1</f>
        <v>0</v>
      </c>
      <c r="R6" s="459"/>
      <c r="S6" s="57"/>
      <c r="T6" s="171"/>
      <c r="U6" s="75"/>
      <c r="V6" s="66"/>
      <c r="W6" s="432" t="str">
        <f>Worksheet!W6</f>
        <v>San Antonio, TX 78239</v>
      </c>
      <c r="X6" s="432"/>
      <c r="Y6" s="432"/>
      <c r="Z6" s="66"/>
    </row>
    <row r="7" spans="1:26" s="53" customFormat="1" ht="15.75" customHeight="1" thickBot="1">
      <c r="A7" s="198"/>
      <c r="B7" s="64"/>
      <c r="C7" s="66"/>
      <c r="D7" s="337" t="s">
        <v>2563</v>
      </c>
      <c r="E7" s="323"/>
      <c r="F7" s="323"/>
      <c r="G7" s="323"/>
      <c r="H7" s="323"/>
      <c r="I7" s="318"/>
      <c r="J7" s="318"/>
      <c r="K7" s="318"/>
      <c r="L7" s="318"/>
      <c r="M7" s="318"/>
      <c r="N7" s="318"/>
      <c r="O7" s="318"/>
      <c r="P7" s="172" t="s">
        <v>2562</v>
      </c>
      <c r="Q7" s="460"/>
      <c r="R7" s="461"/>
      <c r="S7" s="57"/>
      <c r="T7" s="57"/>
      <c r="U7" s="75"/>
      <c r="V7" s="66" t="s">
        <v>108</v>
      </c>
      <c r="W7" s="338">
        <f>Worksheet!D6</f>
        <v>0</v>
      </c>
      <c r="X7" s="163">
        <f>Worksheet!J6</f>
        <v>0</v>
      </c>
      <c r="Y7" s="163"/>
      <c r="Z7" s="66"/>
    </row>
    <row r="8" spans="1:26" s="53" customFormat="1" ht="21" customHeight="1">
      <c r="A8" s="198"/>
      <c r="B8" s="64"/>
      <c r="C8" s="57"/>
      <c r="D8" s="323"/>
      <c r="E8" s="323"/>
      <c r="F8" s="323"/>
      <c r="G8" s="323"/>
      <c r="H8" s="323"/>
      <c r="I8" s="323"/>
      <c r="J8" s="323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 t="str">
        <f>Worksheet!W7</f>
        <v>Key Box# 78239 Back Door Mech enclosure #1830</v>
      </c>
      <c r="X8" s="57">
        <f>Worksheet!W8</f>
        <v>0</v>
      </c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114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81.5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81.5</v>
      </c>
      <c r="P11" s="250">
        <f>Worksheet!P11</f>
        <v>74</v>
      </c>
      <c r="Q11" s="324">
        <f>Worksheet!Q11</f>
        <v>1.8</v>
      </c>
      <c r="R11" s="250">
        <f>Worksheet!R11</f>
        <v>62</v>
      </c>
      <c r="S11" s="325">
        <f>Worksheet!S11</f>
        <v>2.1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115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36</v>
      </c>
      <c r="H12" s="114">
        <f>Worksheet!H12</f>
        <v>3.5</v>
      </c>
      <c r="I12" s="111">
        <f>Worksheet!I12</f>
        <v>83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36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83</v>
      </c>
      <c r="P12" s="250">
        <f>Worksheet!P12</f>
        <v>74</v>
      </c>
      <c r="Q12" s="324">
        <f>Worksheet!Q12</f>
        <v>1.7</v>
      </c>
      <c r="R12" s="250">
        <f>Worksheet!R12</f>
        <v>62</v>
      </c>
      <c r="S12" s="325">
        <f>Worksheet!S12</f>
        <v>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115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40</v>
      </c>
      <c r="H13" s="114">
        <f>Worksheet!H13</f>
        <v>3.5</v>
      </c>
      <c r="I13" s="111">
        <f>Worksheet!I13</f>
        <v>83</v>
      </c>
      <c r="J13" s="245">
        <f t="shared" si="1"/>
        <v>0</v>
      </c>
      <c r="K13" s="245">
        <f t="shared" si="2"/>
        <v>40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83</v>
      </c>
      <c r="P13" s="250">
        <f>Worksheet!P13</f>
        <v>74</v>
      </c>
      <c r="Q13" s="324">
        <f>Worksheet!Q13</f>
        <v>1.8</v>
      </c>
      <c r="R13" s="250">
        <f>Worksheet!R13</f>
        <v>62</v>
      </c>
      <c r="S13" s="325">
        <f>Worksheet!S13</f>
        <v>2.1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116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84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84</v>
      </c>
      <c r="P14" s="250">
        <f>Worksheet!P14</f>
        <v>74</v>
      </c>
      <c r="Q14" s="324">
        <f>Worksheet!Q14</f>
        <v>2.5</v>
      </c>
      <c r="R14" s="250">
        <f>Worksheet!R14</f>
        <v>62</v>
      </c>
      <c r="S14" s="325">
        <f>Worksheet!S14</f>
        <v>2.9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Bishop Woodlake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84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84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54</v>
      </c>
      <c r="H16" s="114">
        <f>Worksheet!H16</f>
        <v>3.5</v>
      </c>
      <c r="I16" s="111">
        <f>Worksheet!I16</f>
        <v>84</v>
      </c>
      <c r="J16" s="245">
        <f t="shared" si="1"/>
        <v>0</v>
      </c>
      <c r="K16" s="245">
        <f t="shared" si="2"/>
        <v>54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84</v>
      </c>
      <c r="P16" s="250">
        <f>Worksheet!P16</f>
        <v>74</v>
      </c>
      <c r="Q16" s="324">
        <f>Worksheet!Q16</f>
        <v>2.2999999999999998</v>
      </c>
      <c r="R16" s="250">
        <f>Worksheet!R16</f>
        <v>62</v>
      </c>
      <c r="S16" s="325">
        <f>Worksheet!S16</f>
        <v>2.7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Stake President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82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82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High Council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82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82</v>
      </c>
      <c r="P18" s="250">
        <f>Worksheet!P18</f>
        <v>74</v>
      </c>
      <c r="Q18" s="324">
        <f>Worksheet!Q18</f>
        <v>2.5</v>
      </c>
      <c r="R18" s="250">
        <f>Worksheet!R18</f>
        <v>62</v>
      </c>
      <c r="S18" s="325">
        <f>Worksheet!S18</f>
        <v>2.9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Foyers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40</v>
      </c>
      <c r="H19" s="114">
        <f>Worksheet!H19</f>
        <v>3.5</v>
      </c>
      <c r="I19" s="111">
        <f>Worksheet!I19</f>
        <v>107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107</v>
      </c>
      <c r="P19" s="250">
        <f>Worksheet!P19</f>
        <v>74</v>
      </c>
      <c r="Q19" s="324">
        <f>Worksheet!Q19</f>
        <v>1.8</v>
      </c>
      <c r="R19" s="250">
        <f>Worksheet!R19</f>
        <v>62</v>
      </c>
      <c r="S19" s="325">
        <f>Worksheet!S19</f>
        <v>2.1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Foyers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40</v>
      </c>
      <c r="H20" s="114">
        <f>Worksheet!H20</f>
        <v>3.5</v>
      </c>
      <c r="I20" s="111">
        <f>Worksheet!I20</f>
        <v>107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107</v>
      </c>
      <c r="P20" s="250">
        <f>Worksheet!P20</f>
        <v>74</v>
      </c>
      <c r="Q20" s="324">
        <f>Worksheet!Q20</f>
        <v>1.8</v>
      </c>
      <c r="R20" s="250">
        <f>Worksheet!R20</f>
        <v>62</v>
      </c>
      <c r="S20" s="325">
        <f>Worksheet!S20</f>
        <v>2.1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Foyers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40</v>
      </c>
      <c r="H21" s="114">
        <f>Worksheet!H21</f>
        <v>3.5</v>
      </c>
      <c r="I21" s="111">
        <f>Worksheet!I21</f>
        <v>107</v>
      </c>
      <c r="J21" s="245">
        <f t="shared" si="1"/>
        <v>0</v>
      </c>
      <c r="K21" s="245">
        <f t="shared" si="2"/>
        <v>40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107</v>
      </c>
      <c r="P21" s="250">
        <f>Worksheet!P21</f>
        <v>74</v>
      </c>
      <c r="Q21" s="324">
        <f>Worksheet!Q21</f>
        <v>1.8</v>
      </c>
      <c r="R21" s="250">
        <f>Worksheet!R21</f>
        <v>62</v>
      </c>
      <c r="S21" s="325">
        <f>Worksheet!S21</f>
        <v>2.1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Foyers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40</v>
      </c>
      <c r="H22" s="114">
        <f>Worksheet!H22</f>
        <v>3.5</v>
      </c>
      <c r="I22" s="111">
        <f>Worksheet!I22</f>
        <v>107</v>
      </c>
      <c r="J22" s="245">
        <f t="shared" si="1"/>
        <v>0</v>
      </c>
      <c r="K22" s="245">
        <f t="shared" si="2"/>
        <v>40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107</v>
      </c>
      <c r="P22" s="250">
        <f>Worksheet!P22</f>
        <v>74</v>
      </c>
      <c r="Q22" s="324">
        <f>Worksheet!Q22</f>
        <v>1.8</v>
      </c>
      <c r="R22" s="250">
        <f>Worksheet!R22</f>
        <v>62</v>
      </c>
      <c r="S22" s="325">
        <f>Worksheet!S22</f>
        <v>2.1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40</v>
      </c>
      <c r="H23" s="114">
        <f>Worksheet!H23</f>
        <v>3.8</v>
      </c>
      <c r="I23" s="111">
        <f>Worksheet!I23</f>
        <v>238</v>
      </c>
      <c r="J23" s="245">
        <f t="shared" si="1"/>
        <v>0</v>
      </c>
      <c r="K23" s="245">
        <f t="shared" si="2"/>
        <v>40</v>
      </c>
      <c r="L23" s="246" t="str">
        <f t="shared" si="3"/>
        <v>+</v>
      </c>
      <c r="M23" s="247">
        <f>Worksheet!M23</f>
        <v>13.6</v>
      </c>
      <c r="N23" s="248" t="str">
        <f t="shared" si="4"/>
        <v>x</v>
      </c>
      <c r="O23" s="249">
        <f t="shared" si="0"/>
        <v>238</v>
      </c>
      <c r="P23" s="250">
        <f>Worksheet!P23</f>
        <v>74</v>
      </c>
      <c r="Q23" s="324">
        <f>Worksheet!Q23</f>
        <v>1.85</v>
      </c>
      <c r="R23" s="250">
        <f>Worksheet!R23</f>
        <v>62</v>
      </c>
      <c r="S23" s="325">
        <f>Worksheet!S23</f>
        <v>2.1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Chapel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40</v>
      </c>
      <c r="H24" s="114">
        <f>Worksheet!H24</f>
        <v>3.8</v>
      </c>
      <c r="I24" s="111">
        <f>Worksheet!I24</f>
        <v>238</v>
      </c>
      <c r="J24" s="245">
        <f t="shared" si="1"/>
        <v>0</v>
      </c>
      <c r="K24" s="245">
        <f t="shared" si="2"/>
        <v>40</v>
      </c>
      <c r="L24" s="246" t="str">
        <f t="shared" si="3"/>
        <v>+</v>
      </c>
      <c r="M24" s="247">
        <f>Worksheet!M24</f>
        <v>13.6</v>
      </c>
      <c r="N24" s="248" t="str">
        <f t="shared" si="4"/>
        <v>x</v>
      </c>
      <c r="O24" s="249">
        <f t="shared" si="0"/>
        <v>238</v>
      </c>
      <c r="P24" s="250">
        <f>Worksheet!P24</f>
        <v>74</v>
      </c>
      <c r="Q24" s="324">
        <f>Worksheet!Q24</f>
        <v>1.85</v>
      </c>
      <c r="R24" s="250">
        <f>Worksheet!R24</f>
        <v>62</v>
      </c>
      <c r="S24" s="325">
        <f>Worksheet!S24</f>
        <v>2.1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Chapel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40</v>
      </c>
      <c r="H25" s="114">
        <f>Worksheet!H25</f>
        <v>3.8</v>
      </c>
      <c r="I25" s="111">
        <f>Worksheet!I25</f>
        <v>146</v>
      </c>
      <c r="J25" s="245">
        <f t="shared" si="1"/>
        <v>0</v>
      </c>
      <c r="K25" s="245">
        <f t="shared" si="2"/>
        <v>40</v>
      </c>
      <c r="L25" s="246" t="str">
        <f t="shared" si="3"/>
        <v>+</v>
      </c>
      <c r="M25" s="247">
        <f>Worksheet!M25</f>
        <v>13.6</v>
      </c>
      <c r="N25" s="248" t="str">
        <f t="shared" si="4"/>
        <v>x</v>
      </c>
      <c r="O25" s="249">
        <f t="shared" si="0"/>
        <v>146</v>
      </c>
      <c r="P25" s="250">
        <f>Worksheet!P25</f>
        <v>74</v>
      </c>
      <c r="Q25" s="324">
        <f>Worksheet!Q25</f>
        <v>1.85</v>
      </c>
      <c r="R25" s="250">
        <f>Worksheet!R25</f>
        <v>62</v>
      </c>
      <c r="S25" s="325">
        <f>Worksheet!S25</f>
        <v>2.1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Chapel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40</v>
      </c>
      <c r="H26" s="114">
        <f>Worksheet!H26</f>
        <v>3.8</v>
      </c>
      <c r="I26" s="111">
        <f>Worksheet!I26</f>
        <v>146</v>
      </c>
      <c r="J26" s="245">
        <f t="shared" si="1"/>
        <v>0</v>
      </c>
      <c r="K26" s="245">
        <f t="shared" si="2"/>
        <v>40</v>
      </c>
      <c r="L26" s="246" t="str">
        <f t="shared" si="3"/>
        <v>+</v>
      </c>
      <c r="M26" s="247">
        <f>Worksheet!M26</f>
        <v>13.6</v>
      </c>
      <c r="N26" s="248" t="str">
        <f t="shared" si="4"/>
        <v>x</v>
      </c>
      <c r="O26" s="249">
        <f t="shared" si="0"/>
        <v>146</v>
      </c>
      <c r="P26" s="250">
        <f>Worksheet!P26</f>
        <v>74</v>
      </c>
      <c r="Q26" s="324">
        <f>Worksheet!Q26</f>
        <v>1.85</v>
      </c>
      <c r="R26" s="250">
        <f>Worksheet!R26</f>
        <v>62</v>
      </c>
      <c r="S26" s="325">
        <f>Worksheet!S26</f>
        <v>2.1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Clerk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54</v>
      </c>
      <c r="H27" s="114">
        <f>Worksheet!H27</f>
        <v>3.5</v>
      </c>
      <c r="I27" s="111">
        <f>Worksheet!I27</f>
        <v>100</v>
      </c>
      <c r="J27" s="245">
        <f t="shared" si="1"/>
        <v>0</v>
      </c>
      <c r="K27" s="245">
        <f t="shared" si="2"/>
        <v>54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100</v>
      </c>
      <c r="P27" s="250">
        <f>Worksheet!P27</f>
        <v>74</v>
      </c>
      <c r="Q27" s="324">
        <f>Worksheet!Q27</f>
        <v>2.2999999999999998</v>
      </c>
      <c r="R27" s="250">
        <f>Worksheet!R27</f>
        <v>62</v>
      </c>
      <c r="S27" s="325">
        <f>Worksheet!S27</f>
        <v>2.7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Bishop Converse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54</v>
      </c>
      <c r="H28" s="114">
        <f>Worksheet!H28</f>
        <v>3.5</v>
      </c>
      <c r="I28" s="111">
        <f>Worksheet!I28</f>
        <v>100</v>
      </c>
      <c r="J28" s="245">
        <f t="shared" si="1"/>
        <v>0</v>
      </c>
      <c r="K28" s="245">
        <f t="shared" si="2"/>
        <v>54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100</v>
      </c>
      <c r="P28" s="250">
        <f>Worksheet!P28</f>
        <v>74</v>
      </c>
      <c r="Q28" s="324">
        <f>Worksheet!Q28</f>
        <v>2.2999999999999998</v>
      </c>
      <c r="R28" s="250">
        <f>Worksheet!R28</f>
        <v>62</v>
      </c>
      <c r="S28" s="325">
        <f>Worksheet!S28</f>
        <v>2.7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L</v>
      </c>
      <c r="G29" s="111">
        <f>Worksheet!G29</f>
        <v>48</v>
      </c>
      <c r="H29" s="114">
        <f>Worksheet!H29</f>
        <v>3.5</v>
      </c>
      <c r="I29" s="111">
        <f>Worksheet!I29</f>
        <v>104</v>
      </c>
      <c r="J29" s="245" t="str">
        <f t="shared" si="1"/>
        <v>left</v>
      </c>
      <c r="K29" s="245">
        <f t="shared" si="2"/>
        <v>48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104</v>
      </c>
      <c r="P29" s="250">
        <f>Worksheet!P29</f>
        <v>74</v>
      </c>
      <c r="Q29" s="324">
        <f>Worksheet!Q29</f>
        <v>1.85</v>
      </c>
      <c r="R29" s="250">
        <f>Worksheet!R29</f>
        <v>62</v>
      </c>
      <c r="S29" s="325">
        <f>Worksheet!S29</f>
        <v>2.2000000000000002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Windcrest</v>
      </c>
      <c r="C30" s="155" t="str">
        <f>Worksheet!C30</f>
        <v>X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84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84</v>
      </c>
      <c r="P30" s="250">
        <f>Worksheet!P30</f>
        <v>74</v>
      </c>
      <c r="Q30" s="324">
        <f>Worksheet!Q30</f>
        <v>2.5</v>
      </c>
      <c r="R30" s="250">
        <f>Worksheet!R30</f>
        <v>62</v>
      </c>
      <c r="S30" s="325">
        <f>Worksheet!S30</f>
        <v>2.9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/>
      <c r="W32" s="43"/>
      <c r="X32" s="66"/>
      <c r="Y32" s="66"/>
      <c r="Z32" s="43"/>
    </row>
    <row r="33" spans="1:26" s="53" customFormat="1" ht="15.95" customHeight="1">
      <c r="A33" s="198"/>
      <c r="B33" s="131" t="s">
        <v>69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3"/>
      <c r="W33" s="43"/>
    </row>
    <row r="34" spans="1:26" s="53" customFormat="1" ht="18" customHeigh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/>
      <c r="P34" s="195"/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10">
    <mergeCell ref="O1:S1"/>
    <mergeCell ref="P4:Q4"/>
    <mergeCell ref="R4:T4"/>
    <mergeCell ref="W5:Y5"/>
    <mergeCell ref="C9:C10"/>
    <mergeCell ref="P9:P10"/>
    <mergeCell ref="V37:W37"/>
    <mergeCell ref="W4:X4"/>
    <mergeCell ref="W6:Y6"/>
    <mergeCell ref="Q6:R7"/>
  </mergeCells>
  <conditionalFormatting sqref="R4:T4">
    <cfRule type="containsBlanks" dxfId="5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1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2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3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4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5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816FD-65B8-4B1A-9318-8CE50283A585}">
  <dimension ref="A1:Z43"/>
  <sheetViews>
    <sheetView showGridLines="0" showZeros="0" view="pageBreakPreview" topLeftCell="A8" zoomScale="90" zoomScaleNormal="80" zoomScaleSheetLayoutView="90" workbookViewId="0">
      <selection activeCell="T34" sqref="T34"/>
    </sheetView>
  </sheetViews>
  <sheetFormatPr defaultRowHeight="15.75"/>
  <cols>
    <col min="1" max="1" width="6" style="200" customWidth="1"/>
    <col min="2" max="2" width="12.85546875" customWidth="1"/>
    <col min="3" max="3" width="2.7109375" customWidth="1"/>
    <col min="4" max="4" width="4.28515625" style="1" customWidth="1"/>
    <col min="5" max="6" width="4.14062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8.42578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8.28515625" customWidth="1"/>
    <col min="25" max="25" width="22.42578125" customWidth="1"/>
    <col min="26" max="26" width="11.5703125" customWidth="1"/>
  </cols>
  <sheetData>
    <row r="1" spans="1:26" s="43" customFormat="1" ht="40.700000000000003" customHeight="1" thickBot="1">
      <c r="A1" s="198"/>
      <c r="B1" s="44"/>
      <c r="C1" s="44"/>
      <c r="D1" s="45"/>
      <c r="H1" s="46"/>
      <c r="O1" s="462" t="s">
        <v>2567</v>
      </c>
      <c r="P1" s="462"/>
      <c r="Q1" s="462"/>
      <c r="R1" s="462"/>
      <c r="S1" s="462"/>
      <c r="T1" s="47"/>
      <c r="U1" s="47"/>
      <c r="V1" s="47"/>
      <c r="X1" s="307" t="s">
        <v>2555</v>
      </c>
      <c r="Y1" s="308">
        <f>Worksheet!AR1</f>
        <v>0</v>
      </c>
    </row>
    <row r="2" spans="1:26" s="53" customFormat="1">
      <c r="A2" s="198"/>
      <c r="B2" s="309"/>
      <c r="C2" s="310"/>
      <c r="D2" s="311"/>
      <c r="E2" s="312"/>
      <c r="F2" s="312"/>
      <c r="G2" s="312"/>
      <c r="H2" s="313"/>
      <c r="I2" s="312"/>
      <c r="J2" s="312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</row>
    <row r="3" spans="1:26" s="53" customFormat="1" ht="15.95" customHeight="1" thickBot="1">
      <c r="A3" s="198"/>
      <c r="B3" s="314"/>
      <c r="C3" s="312"/>
      <c r="D3" s="315" t="s">
        <v>2564</v>
      </c>
      <c r="E3" s="316"/>
      <c r="F3" s="316"/>
      <c r="G3" s="316"/>
      <c r="H3" s="316"/>
      <c r="I3" s="317"/>
      <c r="J3" s="317"/>
      <c r="K3" s="318"/>
      <c r="L3" s="318"/>
      <c r="M3" s="318"/>
      <c r="N3" s="318"/>
      <c r="O3" s="318"/>
      <c r="P3" s="57"/>
      <c r="Q3" s="57"/>
      <c r="S3" s="171"/>
      <c r="T3" s="171"/>
      <c r="U3" s="57"/>
      <c r="V3" s="66"/>
      <c r="W3" s="57"/>
      <c r="X3" s="57"/>
      <c r="Y3" s="57"/>
      <c r="Z3" s="57"/>
    </row>
    <row r="4" spans="1:26" s="53" customFormat="1" ht="15.95" customHeight="1" thickBot="1">
      <c r="A4" s="198"/>
      <c r="B4" s="314"/>
      <c r="C4" s="312"/>
      <c r="D4" s="317"/>
      <c r="E4" s="317"/>
      <c r="F4" s="317"/>
      <c r="G4" s="317"/>
      <c r="H4" s="317"/>
      <c r="I4" s="317"/>
      <c r="J4" s="317"/>
      <c r="K4" s="318"/>
      <c r="L4" s="318"/>
      <c r="M4" s="318"/>
      <c r="N4" s="318"/>
      <c r="O4" s="318"/>
      <c r="P4" s="421" t="s">
        <v>2531</v>
      </c>
      <c r="Q4" s="421"/>
      <c r="R4" s="418" t="str">
        <f>Worksheet!R4</f>
        <v>June 20 2025</v>
      </c>
      <c r="S4" s="418"/>
      <c r="T4" s="418"/>
      <c r="U4" s="171"/>
      <c r="V4" s="254" t="s">
        <v>40</v>
      </c>
      <c r="W4" s="255">
        <f>Worksheet!W32</f>
        <v>0</v>
      </c>
      <c r="X4" s="255"/>
      <c r="Y4" s="303" t="s">
        <v>2297</v>
      </c>
      <c r="Z4" s="211">
        <f>Worksheet!Z4</f>
        <v>1</v>
      </c>
    </row>
    <row r="5" spans="1:26" s="53" customFormat="1" ht="15.95" customHeight="1">
      <c r="A5" s="198"/>
      <c r="B5" s="314"/>
      <c r="C5" s="312"/>
      <c r="D5" s="319" t="s">
        <v>2557</v>
      </c>
      <c r="E5" s="316"/>
      <c r="F5" s="316"/>
      <c r="G5" s="316"/>
      <c r="H5" s="316"/>
      <c r="I5" s="317"/>
      <c r="J5" s="317"/>
      <c r="K5" s="318"/>
      <c r="L5" s="318"/>
      <c r="M5" s="318"/>
      <c r="N5" s="318"/>
      <c r="O5" s="318"/>
      <c r="P5" s="57"/>
      <c r="Q5" s="57"/>
      <c r="R5" s="57"/>
      <c r="T5" s="57"/>
      <c r="U5" s="57"/>
      <c r="V5" s="163"/>
      <c r="W5" s="163">
        <f>Worksheet!W33</f>
        <v>0</v>
      </c>
      <c r="X5" s="163"/>
      <c r="Y5" s="321"/>
      <c r="Z5" s="66"/>
    </row>
    <row r="6" spans="1:26" s="53" customFormat="1" ht="15.95" customHeight="1">
      <c r="A6" s="198"/>
      <c r="B6" s="314"/>
      <c r="C6" s="312"/>
      <c r="D6" s="317"/>
      <c r="E6" s="317"/>
      <c r="F6" s="317"/>
      <c r="G6" s="317"/>
      <c r="H6" s="317"/>
      <c r="I6" s="317"/>
      <c r="J6" s="317"/>
      <c r="K6" s="318"/>
      <c r="L6" s="318"/>
      <c r="M6" s="337" t="s">
        <v>2566</v>
      </c>
      <c r="N6" s="323" t="str">
        <f>Worksheet!W4</f>
        <v>Windcrest WO#J5121027-00234.01</v>
      </c>
      <c r="O6" s="323"/>
      <c r="P6" s="65"/>
      <c r="Q6" s="339"/>
      <c r="R6" s="340"/>
      <c r="S6" s="57"/>
      <c r="T6" s="171"/>
      <c r="U6" s="75"/>
      <c r="V6" s="163"/>
      <c r="W6" s="163">
        <f>Worksheet!W34</f>
        <v>0</v>
      </c>
      <c r="X6" s="163"/>
      <c r="Y6" s="321"/>
      <c r="Z6" s="66"/>
    </row>
    <row r="7" spans="1:26" s="53" customFormat="1" ht="15.75" customHeight="1">
      <c r="A7" s="198"/>
      <c r="B7" s="314"/>
      <c r="C7" s="322"/>
      <c r="D7" s="319" t="s">
        <v>2565</v>
      </c>
      <c r="E7" s="316"/>
      <c r="F7" s="316"/>
      <c r="G7" s="316"/>
      <c r="H7" s="316"/>
      <c r="I7" s="317"/>
      <c r="J7" s="317"/>
      <c r="K7" s="318"/>
      <c r="L7" s="318"/>
      <c r="M7" s="318"/>
      <c r="N7" s="318"/>
      <c r="O7" s="318"/>
      <c r="P7" s="57"/>
      <c r="Q7" s="79"/>
      <c r="R7" s="57"/>
      <c r="S7" s="57"/>
      <c r="T7" s="57"/>
      <c r="U7" s="75"/>
      <c r="V7" s="257"/>
      <c r="W7" s="257">
        <f>Worksheet!W35</f>
        <v>0</v>
      </c>
      <c r="X7" s="257"/>
      <c r="Y7" s="66"/>
      <c r="Z7" s="66"/>
    </row>
    <row r="8" spans="1:26" s="53" customFormat="1" ht="21" customHeight="1">
      <c r="A8" s="198"/>
      <c r="B8" s="314"/>
      <c r="C8" s="312"/>
      <c r="D8" s="316"/>
      <c r="E8" s="316"/>
      <c r="F8" s="316"/>
      <c r="G8" s="316"/>
      <c r="H8" s="316"/>
      <c r="I8" s="316"/>
      <c r="J8" s="316"/>
      <c r="K8" s="323"/>
      <c r="L8" s="323"/>
      <c r="M8" s="323"/>
      <c r="N8" s="323"/>
      <c r="O8" s="323"/>
      <c r="P8" s="57"/>
      <c r="Q8" s="57"/>
      <c r="R8" s="57"/>
      <c r="T8" s="57"/>
      <c r="U8" s="57"/>
      <c r="V8" s="57"/>
      <c r="W8" s="57"/>
      <c r="X8" s="57"/>
      <c r="Y8" s="57"/>
      <c r="Z8" s="57"/>
    </row>
    <row r="9" spans="1:26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9"/>
    </row>
    <row r="10" spans="1:26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103"/>
    </row>
    <row r="11" spans="1:26" s="53" customFormat="1" ht="20.100000000000001" customHeight="1">
      <c r="A11" s="28" t="str">
        <f>HLOOKUP($Z$4,'Data Sheet'!$B$2:$CM$27,2,FALSE)</f>
        <v>P1-1</v>
      </c>
      <c r="B11" s="189" t="str">
        <f>Worksheet!B11</f>
        <v>Room 114</v>
      </c>
      <c r="C11" s="155" t="str">
        <f>Worksheet!C11</f>
        <v>X</v>
      </c>
      <c r="D11" s="112">
        <f>Worksheet!D11</f>
        <v>1</v>
      </c>
      <c r="E11" s="113">
        <f>Worksheet!E11</f>
        <v>0</v>
      </c>
      <c r="F11" s="113">
        <f>Worksheet!F11</f>
        <v>0</v>
      </c>
      <c r="G11" s="111">
        <f>Worksheet!G11</f>
        <v>40</v>
      </c>
      <c r="H11" s="114">
        <f>Worksheet!H11</f>
        <v>3.5</v>
      </c>
      <c r="I11" s="111">
        <f>Worksheet!I11</f>
        <v>81.5</v>
      </c>
      <c r="J11" s="245">
        <f>IF(F11="l","left",IF(F11="r","right",IF(F11="f","flat",IF(F11="d","dead",IF(F11="s","sor",IF(F11="st","sor t&amp;b",IF(F11="v","vert blnd",IF(F11="x","see sp inst",0))))))))</f>
        <v>0</v>
      </c>
      <c r="K11" s="245">
        <f>+G11</f>
        <v>40</v>
      </c>
      <c r="L11" s="246" t="str">
        <f>IF(F11&gt;"r",0,IF(G11&gt;0,"+",0))</f>
        <v>+</v>
      </c>
      <c r="M11" s="247">
        <f>Worksheet!M11</f>
        <v>13</v>
      </c>
      <c r="N11" s="248" t="str">
        <f>IF(G11&gt;0,"x",0)</f>
        <v>x</v>
      </c>
      <c r="O11" s="249">
        <f t="shared" ref="O11:O30" si="0">+I11</f>
        <v>81.5</v>
      </c>
      <c r="P11" s="250">
        <f>Worksheet!P11</f>
        <v>74</v>
      </c>
      <c r="Q11" s="324">
        <f>Worksheet!Q11</f>
        <v>1.8</v>
      </c>
      <c r="R11" s="250">
        <f>Worksheet!R11</f>
        <v>62</v>
      </c>
      <c r="S11" s="325">
        <f>Worksheet!S11</f>
        <v>2.1</v>
      </c>
      <c r="T11" s="113"/>
      <c r="U11" s="244">
        <f>+D11+E11</f>
        <v>1</v>
      </c>
      <c r="V11" s="221" t="str">
        <f>Worksheet!V11</f>
        <v>HO</v>
      </c>
      <c r="W11" s="221" t="str">
        <f>Worksheet!W11</f>
        <v>5th Avenue 72</v>
      </c>
      <c r="X11" s="222" t="str">
        <f>Worksheet!X11</f>
        <v xml:space="preserve">Flameguard </v>
      </c>
      <c r="Y11" s="57">
        <f>Worksheet!Y11</f>
        <v>0</v>
      </c>
      <c r="Z11" s="115"/>
    </row>
    <row r="12" spans="1:26" s="53" customFormat="1" ht="20.100000000000001" customHeight="1">
      <c r="A12" s="28" t="str">
        <f>HLOOKUP($Z$4,'Data Sheet'!$B$2:$CM$27,3,FALSE)</f>
        <v>P1-2</v>
      </c>
      <c r="B12" s="189" t="str">
        <f>Worksheet!B12</f>
        <v>Room 115</v>
      </c>
      <c r="C12" s="155" t="str">
        <f>Worksheet!C12</f>
        <v>X</v>
      </c>
      <c r="D12" s="112">
        <f>Worksheet!D12</f>
        <v>1</v>
      </c>
      <c r="E12" s="113">
        <f>Worksheet!E12</f>
        <v>0</v>
      </c>
      <c r="F12" s="113">
        <f>Worksheet!F12</f>
        <v>0</v>
      </c>
      <c r="G12" s="111">
        <f>Worksheet!G12</f>
        <v>36</v>
      </c>
      <c r="H12" s="114">
        <f>Worksheet!H12</f>
        <v>3.5</v>
      </c>
      <c r="I12" s="111">
        <f>Worksheet!I12</f>
        <v>83</v>
      </c>
      <c r="J12" s="245">
        <f t="shared" ref="J12:J30" si="1">IF(F12="l","left",IF(F12="r","right",IF(F12="f","flat",IF(F12="d","dead",IF(F12="s","sor",IF(F12="st","sor t&amp;b",IF(F12="v","vert blnd",IF(F12="x","see sp inst",0))))))))</f>
        <v>0</v>
      </c>
      <c r="K12" s="245">
        <f t="shared" ref="K12:K30" si="2">+G12</f>
        <v>36</v>
      </c>
      <c r="L12" s="246" t="str">
        <f t="shared" ref="L12:L30" si="3">IF(F12&gt;"r",0,IF(G12&gt;0,"+",0))</f>
        <v>+</v>
      </c>
      <c r="M12" s="247">
        <f>Worksheet!M12</f>
        <v>13</v>
      </c>
      <c r="N12" s="248" t="str">
        <f t="shared" ref="N12:N30" si="4">IF(G12&gt;0,"x",0)</f>
        <v>x</v>
      </c>
      <c r="O12" s="249">
        <f t="shared" si="0"/>
        <v>83</v>
      </c>
      <c r="P12" s="250">
        <f>Worksheet!P12</f>
        <v>74</v>
      </c>
      <c r="Q12" s="324">
        <f>Worksheet!Q12</f>
        <v>1.7</v>
      </c>
      <c r="R12" s="250">
        <f>Worksheet!R12</f>
        <v>62</v>
      </c>
      <c r="S12" s="325">
        <f>Worksheet!S12</f>
        <v>2</v>
      </c>
      <c r="T12" s="113"/>
      <c r="U12" s="244">
        <f t="shared" ref="U12:U30" si="5">+D12+E12</f>
        <v>1</v>
      </c>
      <c r="V12" s="221" t="str">
        <f>Worksheet!V12</f>
        <v>HO</v>
      </c>
      <c r="W12" s="221" t="str">
        <f>Worksheet!W12</f>
        <v>5th Avenue 72</v>
      </c>
      <c r="X12" s="222" t="str">
        <f>Worksheet!X12</f>
        <v xml:space="preserve">Flameguard </v>
      </c>
      <c r="Y12" s="57">
        <f>Worksheet!Y12</f>
        <v>0</v>
      </c>
      <c r="Z12" s="115"/>
    </row>
    <row r="13" spans="1:26" s="53" customFormat="1" ht="20.100000000000001" customHeight="1">
      <c r="A13" s="28" t="str">
        <f>HLOOKUP($Z$4,'Data Sheet'!$B$2:$CM$27,4,FALSE)</f>
        <v>P1-3</v>
      </c>
      <c r="B13" s="189" t="str">
        <f>Worksheet!B13</f>
        <v>Room 115</v>
      </c>
      <c r="C13" s="155" t="str">
        <f>Worksheet!C13</f>
        <v>X</v>
      </c>
      <c r="D13" s="112">
        <f>Worksheet!D13</f>
        <v>1</v>
      </c>
      <c r="E13" s="113">
        <f>Worksheet!E13</f>
        <v>0</v>
      </c>
      <c r="F13" s="113">
        <f>Worksheet!F13</f>
        <v>0</v>
      </c>
      <c r="G13" s="111">
        <f>Worksheet!G13</f>
        <v>40</v>
      </c>
      <c r="H13" s="114">
        <f>Worksheet!H13</f>
        <v>3.5</v>
      </c>
      <c r="I13" s="111">
        <f>Worksheet!I13</f>
        <v>83</v>
      </c>
      <c r="J13" s="245">
        <f t="shared" si="1"/>
        <v>0</v>
      </c>
      <c r="K13" s="245">
        <f t="shared" si="2"/>
        <v>40</v>
      </c>
      <c r="L13" s="246" t="str">
        <f t="shared" si="3"/>
        <v>+</v>
      </c>
      <c r="M13" s="247">
        <f>Worksheet!M13</f>
        <v>13</v>
      </c>
      <c r="N13" s="248" t="str">
        <f t="shared" si="4"/>
        <v>x</v>
      </c>
      <c r="O13" s="249">
        <f t="shared" si="0"/>
        <v>83</v>
      </c>
      <c r="P13" s="250">
        <f>Worksheet!P13</f>
        <v>74</v>
      </c>
      <c r="Q13" s="324">
        <f>Worksheet!Q13</f>
        <v>1.8</v>
      </c>
      <c r="R13" s="250">
        <f>Worksheet!R13</f>
        <v>62</v>
      </c>
      <c r="S13" s="325">
        <f>Worksheet!S13</f>
        <v>2.1</v>
      </c>
      <c r="T13" s="113"/>
      <c r="U13" s="244">
        <f t="shared" si="5"/>
        <v>1</v>
      </c>
      <c r="V13" s="221" t="str">
        <f>Worksheet!V13</f>
        <v>HO</v>
      </c>
      <c r="W13" s="221" t="str">
        <f>Worksheet!W13</f>
        <v>5th Avenue 72</v>
      </c>
      <c r="X13" s="222" t="str">
        <f>Worksheet!X13</f>
        <v xml:space="preserve">Flameguard </v>
      </c>
      <c r="Y13" s="57">
        <f>Worksheet!Y13</f>
        <v>0</v>
      </c>
      <c r="Z13" s="115"/>
    </row>
    <row r="14" spans="1:26" s="53" customFormat="1" ht="20.100000000000001" customHeight="1">
      <c r="A14" s="28" t="str">
        <f>HLOOKUP($Z$4,'Data Sheet'!$B$2:$CM$27,5,FALSE)</f>
        <v>P1-4</v>
      </c>
      <c r="B14" s="189" t="str">
        <f>Worksheet!B14</f>
        <v>Room 116</v>
      </c>
      <c r="C14" s="155" t="str">
        <f>Worksheet!C14</f>
        <v>X</v>
      </c>
      <c r="D14" s="112">
        <f>Worksheet!D14</f>
        <v>1</v>
      </c>
      <c r="E14" s="113">
        <f>Worksheet!E14</f>
        <v>0</v>
      </c>
      <c r="F14" s="113">
        <f>Worksheet!F14</f>
        <v>0</v>
      </c>
      <c r="G14" s="111">
        <f>Worksheet!G14</f>
        <v>60</v>
      </c>
      <c r="H14" s="114">
        <f>Worksheet!H14</f>
        <v>3.5</v>
      </c>
      <c r="I14" s="111">
        <f>Worksheet!I14</f>
        <v>84</v>
      </c>
      <c r="J14" s="245">
        <f t="shared" si="1"/>
        <v>0</v>
      </c>
      <c r="K14" s="245">
        <f t="shared" si="2"/>
        <v>60</v>
      </c>
      <c r="L14" s="246" t="str">
        <f t="shared" si="3"/>
        <v>+</v>
      </c>
      <c r="M14" s="247">
        <f>Worksheet!M14</f>
        <v>13</v>
      </c>
      <c r="N14" s="248" t="str">
        <f t="shared" si="4"/>
        <v>x</v>
      </c>
      <c r="O14" s="249">
        <f t="shared" si="0"/>
        <v>84</v>
      </c>
      <c r="P14" s="250">
        <f>Worksheet!P14</f>
        <v>74</v>
      </c>
      <c r="Q14" s="324">
        <f>Worksheet!Q14</f>
        <v>2.5</v>
      </c>
      <c r="R14" s="250">
        <f>Worksheet!R14</f>
        <v>62</v>
      </c>
      <c r="S14" s="325">
        <f>Worksheet!S14</f>
        <v>2.9</v>
      </c>
      <c r="T14" s="113">
        <v>0</v>
      </c>
      <c r="U14" s="244">
        <f t="shared" si="5"/>
        <v>1</v>
      </c>
      <c r="V14" s="221" t="str">
        <f>Worksheet!V14</f>
        <v>HO</v>
      </c>
      <c r="W14" s="221" t="str">
        <f>Worksheet!W14</f>
        <v>5th Avenue 72</v>
      </c>
      <c r="X14" s="222" t="str">
        <f>Worksheet!X14</f>
        <v xml:space="preserve">Flameguard </v>
      </c>
      <c r="Y14" s="57">
        <f>Worksheet!Y14</f>
        <v>0</v>
      </c>
      <c r="Z14" s="115"/>
    </row>
    <row r="15" spans="1:26" s="53" customFormat="1" ht="20.100000000000001" customHeight="1">
      <c r="A15" s="28" t="str">
        <f>HLOOKUP($Z$4,'Data Sheet'!$B$2:$CM$27,6,FALSE)</f>
        <v>P1-5</v>
      </c>
      <c r="B15" s="189" t="str">
        <f>Worksheet!B15</f>
        <v>Bishop Woodlake</v>
      </c>
      <c r="C15" s="155" t="str">
        <f>Worksheet!C15</f>
        <v>X</v>
      </c>
      <c r="D15" s="112">
        <f>Worksheet!D15</f>
        <v>1</v>
      </c>
      <c r="E15" s="113">
        <f>Worksheet!E15</f>
        <v>0</v>
      </c>
      <c r="F15" s="113">
        <f>Worksheet!F15</f>
        <v>0</v>
      </c>
      <c r="G15" s="111">
        <f>Worksheet!G15</f>
        <v>60</v>
      </c>
      <c r="H15" s="114">
        <f>Worksheet!H15</f>
        <v>3.5</v>
      </c>
      <c r="I15" s="111">
        <f>Worksheet!I15</f>
        <v>84</v>
      </c>
      <c r="J15" s="245">
        <f t="shared" si="1"/>
        <v>0</v>
      </c>
      <c r="K15" s="245">
        <f t="shared" si="2"/>
        <v>60</v>
      </c>
      <c r="L15" s="246" t="str">
        <f t="shared" si="3"/>
        <v>+</v>
      </c>
      <c r="M15" s="247">
        <f>Worksheet!M15</f>
        <v>13</v>
      </c>
      <c r="N15" s="248" t="str">
        <f t="shared" si="4"/>
        <v>x</v>
      </c>
      <c r="O15" s="249">
        <f t="shared" si="0"/>
        <v>84</v>
      </c>
      <c r="P15" s="250">
        <f>Worksheet!P15</f>
        <v>74</v>
      </c>
      <c r="Q15" s="324">
        <f>Worksheet!Q15</f>
        <v>2.5</v>
      </c>
      <c r="R15" s="250">
        <f>Worksheet!R15</f>
        <v>62</v>
      </c>
      <c r="S15" s="325">
        <f>Worksheet!S15</f>
        <v>2.9</v>
      </c>
      <c r="T15" s="113">
        <v>0</v>
      </c>
      <c r="U15" s="244">
        <f t="shared" si="5"/>
        <v>1</v>
      </c>
      <c r="V15" s="221" t="str">
        <f>Worksheet!V15</f>
        <v>HO</v>
      </c>
      <c r="W15" s="221" t="str">
        <f>Worksheet!W15</f>
        <v>5th Avenue 72</v>
      </c>
      <c r="X15" s="222" t="str">
        <f>Worksheet!X15</f>
        <v xml:space="preserve">Flameguard </v>
      </c>
      <c r="Y15" s="57">
        <f>Worksheet!Y15</f>
        <v>0</v>
      </c>
      <c r="Z15" s="115"/>
    </row>
    <row r="16" spans="1:26" s="53" customFormat="1" ht="20.100000000000001" customHeight="1">
      <c r="A16" s="28" t="str">
        <f>HLOOKUP($Z$4,'Data Sheet'!$B$2:$CM$27,7,FALSE)</f>
        <v>P1-6</v>
      </c>
      <c r="B16" s="189" t="str">
        <f>Worksheet!B16</f>
        <v>Clerk</v>
      </c>
      <c r="C16" s="155" t="str">
        <f>Worksheet!C16</f>
        <v>X</v>
      </c>
      <c r="D16" s="112">
        <f>Worksheet!D16</f>
        <v>1</v>
      </c>
      <c r="E16" s="113">
        <f>Worksheet!E16</f>
        <v>0</v>
      </c>
      <c r="F16" s="113">
        <f>Worksheet!F16</f>
        <v>0</v>
      </c>
      <c r="G16" s="111">
        <f>Worksheet!G16</f>
        <v>54</v>
      </c>
      <c r="H16" s="114">
        <f>Worksheet!H16</f>
        <v>3.5</v>
      </c>
      <c r="I16" s="111">
        <f>Worksheet!I16</f>
        <v>84</v>
      </c>
      <c r="J16" s="245">
        <f t="shared" si="1"/>
        <v>0</v>
      </c>
      <c r="K16" s="245">
        <f t="shared" si="2"/>
        <v>54</v>
      </c>
      <c r="L16" s="246" t="str">
        <f t="shared" si="3"/>
        <v>+</v>
      </c>
      <c r="M16" s="247">
        <f>Worksheet!M16</f>
        <v>13</v>
      </c>
      <c r="N16" s="248" t="str">
        <f t="shared" si="4"/>
        <v>x</v>
      </c>
      <c r="O16" s="249">
        <f t="shared" si="0"/>
        <v>84</v>
      </c>
      <c r="P16" s="250">
        <f>Worksheet!P16</f>
        <v>74</v>
      </c>
      <c r="Q16" s="324">
        <f>Worksheet!Q16</f>
        <v>2.2999999999999998</v>
      </c>
      <c r="R16" s="250">
        <f>Worksheet!R16</f>
        <v>62</v>
      </c>
      <c r="S16" s="325">
        <f>Worksheet!S16</f>
        <v>2.7</v>
      </c>
      <c r="T16" s="113">
        <v>0</v>
      </c>
      <c r="U16" s="244">
        <f t="shared" si="5"/>
        <v>1</v>
      </c>
      <c r="V16" s="221" t="str">
        <f>Worksheet!V16</f>
        <v>HO</v>
      </c>
      <c r="W16" s="221" t="str">
        <f>Worksheet!W16</f>
        <v>5th Avenue 72</v>
      </c>
      <c r="X16" s="222" t="str">
        <f>Worksheet!X16</f>
        <v xml:space="preserve">Flameguard </v>
      </c>
      <c r="Y16" s="57">
        <f>Worksheet!Y16</f>
        <v>0</v>
      </c>
      <c r="Z16" s="115"/>
    </row>
    <row r="17" spans="1:26" s="53" customFormat="1" ht="20.100000000000001" customHeight="1">
      <c r="A17" s="28" t="str">
        <f>HLOOKUP($Z$4,'Data Sheet'!$B$2:$CM$27,8,FALSE)</f>
        <v>P1-7</v>
      </c>
      <c r="B17" s="189" t="str">
        <f>Worksheet!B17</f>
        <v>Stake President</v>
      </c>
      <c r="C17" s="155" t="str">
        <f>Worksheet!C17</f>
        <v>X</v>
      </c>
      <c r="D17" s="112">
        <f>Worksheet!D17</f>
        <v>1</v>
      </c>
      <c r="E17" s="113">
        <f>Worksheet!E17</f>
        <v>0</v>
      </c>
      <c r="F17" s="113">
        <f>Worksheet!F17</f>
        <v>0</v>
      </c>
      <c r="G17" s="111">
        <f>Worksheet!G17</f>
        <v>60</v>
      </c>
      <c r="H17" s="114">
        <f>Worksheet!H17</f>
        <v>3.5</v>
      </c>
      <c r="I17" s="111">
        <f>Worksheet!I17</f>
        <v>82</v>
      </c>
      <c r="J17" s="245">
        <f t="shared" si="1"/>
        <v>0</v>
      </c>
      <c r="K17" s="245">
        <f t="shared" si="2"/>
        <v>60</v>
      </c>
      <c r="L17" s="246" t="str">
        <f t="shared" si="3"/>
        <v>+</v>
      </c>
      <c r="M17" s="247">
        <f>Worksheet!M17</f>
        <v>13</v>
      </c>
      <c r="N17" s="248" t="str">
        <f t="shared" si="4"/>
        <v>x</v>
      </c>
      <c r="O17" s="249">
        <f t="shared" si="0"/>
        <v>82</v>
      </c>
      <c r="P17" s="250">
        <f>Worksheet!P17</f>
        <v>74</v>
      </c>
      <c r="Q17" s="324">
        <f>Worksheet!Q17</f>
        <v>2.5</v>
      </c>
      <c r="R17" s="250">
        <f>Worksheet!R17</f>
        <v>62</v>
      </c>
      <c r="S17" s="325">
        <f>Worksheet!S17</f>
        <v>2.9</v>
      </c>
      <c r="T17" s="113">
        <v>0</v>
      </c>
      <c r="U17" s="244">
        <f t="shared" si="5"/>
        <v>1</v>
      </c>
      <c r="V17" s="221" t="str">
        <f>Worksheet!V17</f>
        <v>HO</v>
      </c>
      <c r="W17" s="221" t="str">
        <f>Worksheet!W17</f>
        <v>5th Avenue 72</v>
      </c>
      <c r="X17" s="222" t="str">
        <f>Worksheet!X17</f>
        <v xml:space="preserve">Flameguard </v>
      </c>
      <c r="Y17" s="57">
        <f>Worksheet!Y17</f>
        <v>0</v>
      </c>
      <c r="Z17" s="115"/>
    </row>
    <row r="18" spans="1:26" s="53" customFormat="1" ht="20.100000000000001" customHeight="1">
      <c r="A18" s="28" t="str">
        <f>HLOOKUP($Z$4,'Data Sheet'!$B$2:$CM$27,9,FALSE)</f>
        <v>P1-8</v>
      </c>
      <c r="B18" s="189" t="str">
        <f>Worksheet!B18</f>
        <v>High Council</v>
      </c>
      <c r="C18" s="155" t="str">
        <f>Worksheet!C18</f>
        <v>X</v>
      </c>
      <c r="D18" s="112">
        <f>Worksheet!D18</f>
        <v>1</v>
      </c>
      <c r="E18" s="113">
        <f>Worksheet!E18</f>
        <v>0</v>
      </c>
      <c r="F18" s="113">
        <f>Worksheet!F18</f>
        <v>0</v>
      </c>
      <c r="G18" s="111">
        <f>Worksheet!G18</f>
        <v>60</v>
      </c>
      <c r="H18" s="114">
        <f>Worksheet!H18</f>
        <v>3.5</v>
      </c>
      <c r="I18" s="111">
        <f>Worksheet!I18</f>
        <v>82</v>
      </c>
      <c r="J18" s="245">
        <f t="shared" si="1"/>
        <v>0</v>
      </c>
      <c r="K18" s="245">
        <f t="shared" si="2"/>
        <v>60</v>
      </c>
      <c r="L18" s="246" t="str">
        <f t="shared" si="3"/>
        <v>+</v>
      </c>
      <c r="M18" s="247">
        <f>Worksheet!M18</f>
        <v>13</v>
      </c>
      <c r="N18" s="248" t="str">
        <f t="shared" si="4"/>
        <v>x</v>
      </c>
      <c r="O18" s="249">
        <f t="shared" si="0"/>
        <v>82</v>
      </c>
      <c r="P18" s="250">
        <f>Worksheet!P18</f>
        <v>74</v>
      </c>
      <c r="Q18" s="324">
        <f>Worksheet!Q18</f>
        <v>2.5</v>
      </c>
      <c r="R18" s="250">
        <f>Worksheet!R18</f>
        <v>62</v>
      </c>
      <c r="S18" s="325">
        <f>Worksheet!S18</f>
        <v>2.9</v>
      </c>
      <c r="T18" s="113">
        <v>0</v>
      </c>
      <c r="U18" s="244">
        <f t="shared" si="5"/>
        <v>1</v>
      </c>
      <c r="V18" s="221" t="str">
        <f>Worksheet!V18</f>
        <v>HO</v>
      </c>
      <c r="W18" s="221" t="str">
        <f>Worksheet!W18</f>
        <v>5th Avenue 72</v>
      </c>
      <c r="X18" s="222" t="str">
        <f>Worksheet!X18</f>
        <v xml:space="preserve">Flameguard </v>
      </c>
      <c r="Y18" s="57">
        <f>Worksheet!Y18</f>
        <v>0</v>
      </c>
      <c r="Z18" s="115"/>
    </row>
    <row r="19" spans="1:26" s="53" customFormat="1" ht="20.100000000000001" customHeight="1">
      <c r="A19" s="28" t="str">
        <f>HLOOKUP($Z$4,'Data Sheet'!$B$2:$CM$27,10,FALSE)</f>
        <v>P1-9</v>
      </c>
      <c r="B19" s="189" t="str">
        <f>Worksheet!B19</f>
        <v>Foyers</v>
      </c>
      <c r="C19" s="155" t="str">
        <f>Worksheet!C19</f>
        <v>X</v>
      </c>
      <c r="D19" s="112">
        <f>Worksheet!D19</f>
        <v>1</v>
      </c>
      <c r="E19" s="113">
        <f>Worksheet!E19</f>
        <v>0</v>
      </c>
      <c r="F19" s="113">
        <f>Worksheet!F19</f>
        <v>0</v>
      </c>
      <c r="G19" s="111">
        <f>Worksheet!G19</f>
        <v>40</v>
      </c>
      <c r="H19" s="114">
        <f>Worksheet!H19</f>
        <v>3.5</v>
      </c>
      <c r="I19" s="111">
        <f>Worksheet!I19</f>
        <v>107</v>
      </c>
      <c r="J19" s="245">
        <f t="shared" si="1"/>
        <v>0</v>
      </c>
      <c r="K19" s="245">
        <f>+G19</f>
        <v>40</v>
      </c>
      <c r="L19" s="246" t="str">
        <f>IF(F19&gt;"r",0,IF(G19&gt;0,"+",0))</f>
        <v>+</v>
      </c>
      <c r="M19" s="247">
        <f>Worksheet!M19</f>
        <v>13</v>
      </c>
      <c r="N19" s="248" t="str">
        <f>IF(G19&gt;0,"x",0)</f>
        <v>x</v>
      </c>
      <c r="O19" s="249">
        <f>+I19</f>
        <v>107</v>
      </c>
      <c r="P19" s="250">
        <f>Worksheet!P19</f>
        <v>74</v>
      </c>
      <c r="Q19" s="324">
        <f>Worksheet!Q19</f>
        <v>1.8</v>
      </c>
      <c r="R19" s="250">
        <f>Worksheet!R19</f>
        <v>62</v>
      </c>
      <c r="S19" s="325">
        <f>Worksheet!S19</f>
        <v>2.1</v>
      </c>
      <c r="T19" s="113">
        <v>0</v>
      </c>
      <c r="U19" s="244">
        <f t="shared" si="5"/>
        <v>1</v>
      </c>
      <c r="V19" s="221" t="str">
        <f>Worksheet!V19</f>
        <v>HO</v>
      </c>
      <c r="W19" s="221" t="str">
        <f>Worksheet!W19</f>
        <v>5th Avenue 72</v>
      </c>
      <c r="X19" s="222" t="str">
        <f>Worksheet!X19</f>
        <v xml:space="preserve">Flameguard </v>
      </c>
      <c r="Y19" s="57">
        <f>Worksheet!Y19</f>
        <v>0</v>
      </c>
      <c r="Z19" s="115"/>
    </row>
    <row r="20" spans="1:26" s="53" customFormat="1" ht="20.100000000000001" customHeight="1">
      <c r="A20" s="28" t="str">
        <f>HLOOKUP($Z$4,'Data Sheet'!$B$2:$CM$27,11,FALSE)</f>
        <v>P1-10</v>
      </c>
      <c r="B20" s="189" t="str">
        <f>Worksheet!B20</f>
        <v>Foyers</v>
      </c>
      <c r="C20" s="155" t="str">
        <f>Worksheet!C20</f>
        <v>X</v>
      </c>
      <c r="D20" s="112">
        <f>Worksheet!D20</f>
        <v>1</v>
      </c>
      <c r="E20" s="113">
        <f>Worksheet!E20</f>
        <v>0</v>
      </c>
      <c r="F20" s="113">
        <f>Worksheet!F20</f>
        <v>0</v>
      </c>
      <c r="G20" s="111">
        <f>Worksheet!G20</f>
        <v>40</v>
      </c>
      <c r="H20" s="114">
        <f>Worksheet!H20</f>
        <v>3.5</v>
      </c>
      <c r="I20" s="111">
        <f>Worksheet!I20</f>
        <v>107</v>
      </c>
      <c r="J20" s="245">
        <f t="shared" si="1"/>
        <v>0</v>
      </c>
      <c r="K20" s="245">
        <f>+G20</f>
        <v>40</v>
      </c>
      <c r="L20" s="246" t="str">
        <f>IF(F20&gt;"r",0,IF(G20&gt;0,"+",0))</f>
        <v>+</v>
      </c>
      <c r="M20" s="247">
        <f>Worksheet!M20</f>
        <v>13</v>
      </c>
      <c r="N20" s="248" t="str">
        <f>IF(G20&gt;0,"x",0)</f>
        <v>x</v>
      </c>
      <c r="O20" s="249">
        <f>+I20</f>
        <v>107</v>
      </c>
      <c r="P20" s="250">
        <f>Worksheet!P20</f>
        <v>74</v>
      </c>
      <c r="Q20" s="324">
        <f>Worksheet!Q20</f>
        <v>1.8</v>
      </c>
      <c r="R20" s="250">
        <f>Worksheet!R20</f>
        <v>62</v>
      </c>
      <c r="S20" s="325">
        <f>Worksheet!S20</f>
        <v>2.1</v>
      </c>
      <c r="T20" s="113">
        <v>0</v>
      </c>
      <c r="U20" s="244">
        <f>+D20+E20</f>
        <v>1</v>
      </c>
      <c r="V20" s="221" t="str">
        <f>Worksheet!V20</f>
        <v>HO</v>
      </c>
      <c r="W20" s="221" t="str">
        <f>Worksheet!W20</f>
        <v>5th Avenue 72</v>
      </c>
      <c r="X20" s="222" t="str">
        <f>Worksheet!X20</f>
        <v xml:space="preserve">Flameguard </v>
      </c>
      <c r="Y20" s="57">
        <f>Worksheet!Y20</f>
        <v>0</v>
      </c>
      <c r="Z20" s="115"/>
    </row>
    <row r="21" spans="1:26" s="53" customFormat="1" ht="20.100000000000001" customHeight="1">
      <c r="A21" s="28" t="str">
        <f>HLOOKUP($Z$4,'Data Sheet'!$B$2:$CM$27,12,FALSE)</f>
        <v>P1-11</v>
      </c>
      <c r="B21" s="189" t="str">
        <f>Worksheet!B21</f>
        <v>Foyers</v>
      </c>
      <c r="C21" s="155" t="str">
        <f>Worksheet!C21</f>
        <v>X</v>
      </c>
      <c r="D21" s="112">
        <f>Worksheet!D21</f>
        <v>1</v>
      </c>
      <c r="E21" s="113">
        <f>Worksheet!E21</f>
        <v>0</v>
      </c>
      <c r="F21" s="113">
        <f>Worksheet!F21</f>
        <v>0</v>
      </c>
      <c r="G21" s="111">
        <f>Worksheet!G21</f>
        <v>40</v>
      </c>
      <c r="H21" s="114">
        <f>Worksheet!H21</f>
        <v>3.5</v>
      </c>
      <c r="I21" s="111">
        <f>Worksheet!I21</f>
        <v>107</v>
      </c>
      <c r="J21" s="245">
        <f t="shared" si="1"/>
        <v>0</v>
      </c>
      <c r="K21" s="245">
        <f t="shared" si="2"/>
        <v>40</v>
      </c>
      <c r="L21" s="246" t="str">
        <f t="shared" si="3"/>
        <v>+</v>
      </c>
      <c r="M21" s="247">
        <f>Worksheet!M21</f>
        <v>13</v>
      </c>
      <c r="N21" s="248" t="str">
        <f t="shared" si="4"/>
        <v>x</v>
      </c>
      <c r="O21" s="249">
        <f t="shared" si="0"/>
        <v>107</v>
      </c>
      <c r="P21" s="250">
        <f>Worksheet!P21</f>
        <v>74</v>
      </c>
      <c r="Q21" s="324">
        <f>Worksheet!Q21</f>
        <v>1.8</v>
      </c>
      <c r="R21" s="250">
        <f>Worksheet!R21</f>
        <v>62</v>
      </c>
      <c r="S21" s="325">
        <f>Worksheet!S21</f>
        <v>2.1</v>
      </c>
      <c r="T21" s="113">
        <v>0</v>
      </c>
      <c r="U21" s="244">
        <f t="shared" si="5"/>
        <v>1</v>
      </c>
      <c r="V21" s="221" t="str">
        <f>Worksheet!V21</f>
        <v>HO</v>
      </c>
      <c r="W21" s="221" t="str">
        <f>Worksheet!W21</f>
        <v>5th Avenue 72</v>
      </c>
      <c r="X21" s="222" t="str">
        <f>Worksheet!X21</f>
        <v xml:space="preserve">Flameguard </v>
      </c>
      <c r="Y21" s="57">
        <f>Worksheet!Y21</f>
        <v>0</v>
      </c>
      <c r="Z21" s="115"/>
    </row>
    <row r="22" spans="1:26" s="53" customFormat="1" ht="20.100000000000001" customHeight="1">
      <c r="A22" s="28" t="str">
        <f>HLOOKUP($Z$4,'Data Sheet'!$B$2:$CM$27,13,FALSE)</f>
        <v>P1-12</v>
      </c>
      <c r="B22" s="189" t="str">
        <f>Worksheet!B22</f>
        <v>Foyers</v>
      </c>
      <c r="C22" s="155" t="str">
        <f>Worksheet!C22</f>
        <v>X</v>
      </c>
      <c r="D22" s="112">
        <f>Worksheet!D22</f>
        <v>1</v>
      </c>
      <c r="E22" s="113">
        <f>Worksheet!E22</f>
        <v>0</v>
      </c>
      <c r="F22" s="113">
        <f>Worksheet!F22</f>
        <v>0</v>
      </c>
      <c r="G22" s="111">
        <f>Worksheet!G22</f>
        <v>40</v>
      </c>
      <c r="H22" s="114">
        <f>Worksheet!H22</f>
        <v>3.5</v>
      </c>
      <c r="I22" s="111">
        <f>Worksheet!I22</f>
        <v>107</v>
      </c>
      <c r="J22" s="245">
        <f t="shared" si="1"/>
        <v>0</v>
      </c>
      <c r="K22" s="245">
        <f t="shared" si="2"/>
        <v>40</v>
      </c>
      <c r="L22" s="246" t="str">
        <f t="shared" si="3"/>
        <v>+</v>
      </c>
      <c r="M22" s="247">
        <f>Worksheet!M22</f>
        <v>13</v>
      </c>
      <c r="N22" s="248" t="str">
        <f t="shared" si="4"/>
        <v>x</v>
      </c>
      <c r="O22" s="249">
        <f t="shared" si="0"/>
        <v>107</v>
      </c>
      <c r="P22" s="250">
        <f>Worksheet!P22</f>
        <v>74</v>
      </c>
      <c r="Q22" s="324">
        <f>Worksheet!Q22</f>
        <v>1.8</v>
      </c>
      <c r="R22" s="250">
        <f>Worksheet!R22</f>
        <v>62</v>
      </c>
      <c r="S22" s="325">
        <f>Worksheet!S22</f>
        <v>2.1</v>
      </c>
      <c r="T22" s="113">
        <v>0</v>
      </c>
      <c r="U22" s="244">
        <f t="shared" si="5"/>
        <v>1</v>
      </c>
      <c r="V22" s="221" t="str">
        <f>Worksheet!V22</f>
        <v>HO</v>
      </c>
      <c r="W22" s="221" t="str">
        <f>Worksheet!W22</f>
        <v>5th Avenue 72</v>
      </c>
      <c r="X22" s="222" t="str">
        <f>Worksheet!X22</f>
        <v xml:space="preserve">Flameguard </v>
      </c>
      <c r="Y22" s="57">
        <f>Worksheet!Y22</f>
        <v>0</v>
      </c>
      <c r="Z22" s="115"/>
    </row>
    <row r="23" spans="1:26" s="53" customFormat="1" ht="20.100000000000001" customHeight="1">
      <c r="A23" s="28" t="str">
        <f>HLOOKUP($Z$4,'Data Sheet'!$B$2:$CM$27,14,FALSE)</f>
        <v>P1-13</v>
      </c>
      <c r="B23" s="189" t="str">
        <f>Worksheet!B23</f>
        <v>Chapel</v>
      </c>
      <c r="C23" s="155" t="str">
        <f>Worksheet!C23</f>
        <v>X</v>
      </c>
      <c r="D23" s="112">
        <f>Worksheet!D23</f>
        <v>1</v>
      </c>
      <c r="E23" s="113">
        <f>Worksheet!E23</f>
        <v>0</v>
      </c>
      <c r="F23" s="113">
        <f>Worksheet!F23</f>
        <v>0</v>
      </c>
      <c r="G23" s="111">
        <f>Worksheet!G23</f>
        <v>40</v>
      </c>
      <c r="H23" s="114">
        <f>Worksheet!H23</f>
        <v>3.8</v>
      </c>
      <c r="I23" s="111">
        <f>Worksheet!I23</f>
        <v>238</v>
      </c>
      <c r="J23" s="245">
        <f t="shared" si="1"/>
        <v>0</v>
      </c>
      <c r="K23" s="245">
        <f t="shared" si="2"/>
        <v>40</v>
      </c>
      <c r="L23" s="246" t="str">
        <f t="shared" si="3"/>
        <v>+</v>
      </c>
      <c r="M23" s="247">
        <f>Worksheet!M23</f>
        <v>13.6</v>
      </c>
      <c r="N23" s="248" t="str">
        <f t="shared" si="4"/>
        <v>x</v>
      </c>
      <c r="O23" s="249">
        <f t="shared" si="0"/>
        <v>238</v>
      </c>
      <c r="P23" s="250">
        <f>Worksheet!P23</f>
        <v>74</v>
      </c>
      <c r="Q23" s="324">
        <f>Worksheet!Q23</f>
        <v>1.85</v>
      </c>
      <c r="R23" s="250">
        <f>Worksheet!R23</f>
        <v>62</v>
      </c>
      <c r="S23" s="325">
        <f>Worksheet!S23</f>
        <v>2.1</v>
      </c>
      <c r="T23" s="113">
        <v>0</v>
      </c>
      <c r="U23" s="244">
        <f t="shared" si="5"/>
        <v>1</v>
      </c>
      <c r="V23" s="221" t="str">
        <f>Worksheet!V23</f>
        <v>HO</v>
      </c>
      <c r="W23" s="221" t="str">
        <f>Worksheet!W23</f>
        <v>5th Avenue 72</v>
      </c>
      <c r="X23" s="222" t="str">
        <f>Worksheet!X23</f>
        <v xml:space="preserve">Flameguard </v>
      </c>
      <c r="Y23" s="57">
        <f>Worksheet!Y23</f>
        <v>0</v>
      </c>
      <c r="Z23" s="115"/>
    </row>
    <row r="24" spans="1:26" s="53" customFormat="1" ht="20.100000000000001" customHeight="1">
      <c r="A24" s="28" t="str">
        <f>HLOOKUP($Z$4,'Data Sheet'!$B$2:$CM$27,15,FALSE)</f>
        <v>P1-14</v>
      </c>
      <c r="B24" s="189" t="str">
        <f>Worksheet!B24</f>
        <v>Chapel</v>
      </c>
      <c r="C24" s="155" t="str">
        <f>Worksheet!C24</f>
        <v>X</v>
      </c>
      <c r="D24" s="112">
        <f>Worksheet!D24</f>
        <v>1</v>
      </c>
      <c r="E24" s="113">
        <f>Worksheet!E24</f>
        <v>0</v>
      </c>
      <c r="F24" s="113">
        <f>Worksheet!F24</f>
        <v>0</v>
      </c>
      <c r="G24" s="111">
        <f>Worksheet!G24</f>
        <v>40</v>
      </c>
      <c r="H24" s="114">
        <f>Worksheet!H24</f>
        <v>3.8</v>
      </c>
      <c r="I24" s="111">
        <f>Worksheet!I24</f>
        <v>238</v>
      </c>
      <c r="J24" s="245">
        <f t="shared" si="1"/>
        <v>0</v>
      </c>
      <c r="K24" s="245">
        <f t="shared" si="2"/>
        <v>40</v>
      </c>
      <c r="L24" s="246" t="str">
        <f t="shared" si="3"/>
        <v>+</v>
      </c>
      <c r="M24" s="247">
        <f>Worksheet!M24</f>
        <v>13.6</v>
      </c>
      <c r="N24" s="248" t="str">
        <f t="shared" si="4"/>
        <v>x</v>
      </c>
      <c r="O24" s="249">
        <f t="shared" si="0"/>
        <v>238</v>
      </c>
      <c r="P24" s="250">
        <f>Worksheet!P24</f>
        <v>74</v>
      </c>
      <c r="Q24" s="324">
        <f>Worksheet!Q24</f>
        <v>1.85</v>
      </c>
      <c r="R24" s="250">
        <f>Worksheet!R24</f>
        <v>62</v>
      </c>
      <c r="S24" s="325">
        <f>Worksheet!S24</f>
        <v>2.1</v>
      </c>
      <c r="T24" s="113">
        <v>0</v>
      </c>
      <c r="U24" s="244">
        <f t="shared" si="5"/>
        <v>1</v>
      </c>
      <c r="V24" s="221" t="str">
        <f>Worksheet!V24</f>
        <v>HO</v>
      </c>
      <c r="W24" s="221" t="str">
        <f>Worksheet!W24</f>
        <v>5th Avenue 72</v>
      </c>
      <c r="X24" s="222" t="str">
        <f>Worksheet!X24</f>
        <v xml:space="preserve">Flameguard </v>
      </c>
      <c r="Y24" s="57">
        <f>Worksheet!Y24</f>
        <v>0</v>
      </c>
      <c r="Z24" s="115"/>
    </row>
    <row r="25" spans="1:26" s="53" customFormat="1" ht="20.100000000000001" customHeight="1">
      <c r="A25" s="28" t="str">
        <f>HLOOKUP($Z$4,'Data Sheet'!$B$2:$CM$27,16,FALSE)</f>
        <v>P1-15</v>
      </c>
      <c r="B25" s="189" t="str">
        <f>Worksheet!B25</f>
        <v>Chapel</v>
      </c>
      <c r="C25" s="155" t="str">
        <f>Worksheet!C25</f>
        <v>X</v>
      </c>
      <c r="D25" s="112">
        <f>Worksheet!D25</f>
        <v>1</v>
      </c>
      <c r="E25" s="113">
        <f>Worksheet!E25</f>
        <v>0</v>
      </c>
      <c r="F25" s="113">
        <f>Worksheet!F25</f>
        <v>0</v>
      </c>
      <c r="G25" s="111">
        <f>Worksheet!G25</f>
        <v>40</v>
      </c>
      <c r="H25" s="114">
        <f>Worksheet!H25</f>
        <v>3.8</v>
      </c>
      <c r="I25" s="111">
        <f>Worksheet!I25</f>
        <v>146</v>
      </c>
      <c r="J25" s="245">
        <f t="shared" si="1"/>
        <v>0</v>
      </c>
      <c r="K25" s="245">
        <f t="shared" si="2"/>
        <v>40</v>
      </c>
      <c r="L25" s="246" t="str">
        <f t="shared" si="3"/>
        <v>+</v>
      </c>
      <c r="M25" s="247">
        <f>Worksheet!M25</f>
        <v>13.6</v>
      </c>
      <c r="N25" s="248" t="str">
        <f t="shared" si="4"/>
        <v>x</v>
      </c>
      <c r="O25" s="249">
        <f t="shared" si="0"/>
        <v>146</v>
      </c>
      <c r="P25" s="250">
        <f>Worksheet!P25</f>
        <v>74</v>
      </c>
      <c r="Q25" s="324">
        <f>Worksheet!Q25</f>
        <v>1.85</v>
      </c>
      <c r="R25" s="250">
        <f>Worksheet!R25</f>
        <v>62</v>
      </c>
      <c r="S25" s="325">
        <f>Worksheet!S25</f>
        <v>2.1</v>
      </c>
      <c r="T25" s="113">
        <v>0</v>
      </c>
      <c r="U25" s="244">
        <f t="shared" si="5"/>
        <v>1</v>
      </c>
      <c r="V25" s="221" t="str">
        <f>Worksheet!V25</f>
        <v>HO</v>
      </c>
      <c r="W25" s="221" t="str">
        <f>Worksheet!W25</f>
        <v>5th Avenue 72</v>
      </c>
      <c r="X25" s="222" t="str">
        <f>Worksheet!X25</f>
        <v xml:space="preserve">Flameguard </v>
      </c>
      <c r="Y25" s="57">
        <f>Worksheet!Y25</f>
        <v>0</v>
      </c>
      <c r="Z25" s="115"/>
    </row>
    <row r="26" spans="1:26" s="53" customFormat="1" ht="20.100000000000001" customHeight="1">
      <c r="A26" s="28" t="str">
        <f>HLOOKUP($Z$4,'Data Sheet'!$B$2:$CM$27,17,FALSE)</f>
        <v>P1-16</v>
      </c>
      <c r="B26" s="189" t="str">
        <f>Worksheet!B26</f>
        <v>Chapel</v>
      </c>
      <c r="C26" s="155" t="str">
        <f>Worksheet!C26</f>
        <v>X</v>
      </c>
      <c r="D26" s="112">
        <f>Worksheet!D26</f>
        <v>1</v>
      </c>
      <c r="E26" s="113">
        <f>Worksheet!E26</f>
        <v>0</v>
      </c>
      <c r="F26" s="113">
        <f>Worksheet!F26</f>
        <v>0</v>
      </c>
      <c r="G26" s="111">
        <f>Worksheet!G26</f>
        <v>40</v>
      </c>
      <c r="H26" s="114">
        <f>Worksheet!H26</f>
        <v>3.8</v>
      </c>
      <c r="I26" s="111">
        <f>Worksheet!I26</f>
        <v>146</v>
      </c>
      <c r="J26" s="245">
        <f t="shared" si="1"/>
        <v>0</v>
      </c>
      <c r="K26" s="245">
        <f t="shared" si="2"/>
        <v>40</v>
      </c>
      <c r="L26" s="246" t="str">
        <f t="shared" si="3"/>
        <v>+</v>
      </c>
      <c r="M26" s="247">
        <f>Worksheet!M26</f>
        <v>13.6</v>
      </c>
      <c r="N26" s="248" t="str">
        <f t="shared" si="4"/>
        <v>x</v>
      </c>
      <c r="O26" s="249">
        <f t="shared" si="0"/>
        <v>146</v>
      </c>
      <c r="P26" s="250">
        <f>Worksheet!P26</f>
        <v>74</v>
      </c>
      <c r="Q26" s="324">
        <f>Worksheet!Q26</f>
        <v>1.85</v>
      </c>
      <c r="R26" s="250">
        <f>Worksheet!R26</f>
        <v>62</v>
      </c>
      <c r="S26" s="325">
        <f>Worksheet!S26</f>
        <v>2.1</v>
      </c>
      <c r="T26" s="113">
        <v>0</v>
      </c>
      <c r="U26" s="244">
        <f t="shared" si="5"/>
        <v>1</v>
      </c>
      <c r="V26" s="221" t="str">
        <f>Worksheet!V26</f>
        <v>HO</v>
      </c>
      <c r="W26" s="221" t="str">
        <f>Worksheet!W26</f>
        <v>5th Avenue 72</v>
      </c>
      <c r="X26" s="222" t="str">
        <f>Worksheet!X26</f>
        <v xml:space="preserve">Flameguard </v>
      </c>
      <c r="Y26" s="57">
        <f>Worksheet!Y26</f>
        <v>0</v>
      </c>
      <c r="Z26" s="115"/>
    </row>
    <row r="27" spans="1:26" s="53" customFormat="1" ht="20.100000000000001" customHeight="1">
      <c r="A27" s="28" t="str">
        <f>HLOOKUP($Z$4,'Data Sheet'!$B$2:$CM$27,18,FALSE)</f>
        <v>P1-17</v>
      </c>
      <c r="B27" s="189" t="str">
        <f>Worksheet!B27</f>
        <v>Clerk</v>
      </c>
      <c r="C27" s="155" t="str">
        <f>Worksheet!C27</f>
        <v>X</v>
      </c>
      <c r="D27" s="112">
        <f>Worksheet!D27</f>
        <v>1</v>
      </c>
      <c r="E27" s="113">
        <f>Worksheet!E27</f>
        <v>0</v>
      </c>
      <c r="F27" s="113">
        <f>Worksheet!F27</f>
        <v>0</v>
      </c>
      <c r="G27" s="111">
        <f>Worksheet!G27</f>
        <v>54</v>
      </c>
      <c r="H27" s="114">
        <f>Worksheet!H27</f>
        <v>3.5</v>
      </c>
      <c r="I27" s="111">
        <f>Worksheet!I27</f>
        <v>100</v>
      </c>
      <c r="J27" s="245">
        <f t="shared" si="1"/>
        <v>0</v>
      </c>
      <c r="K27" s="245">
        <f t="shared" si="2"/>
        <v>54</v>
      </c>
      <c r="L27" s="246" t="str">
        <f t="shared" si="3"/>
        <v>+</v>
      </c>
      <c r="M27" s="247">
        <f>Worksheet!M27</f>
        <v>13</v>
      </c>
      <c r="N27" s="248" t="str">
        <f t="shared" si="4"/>
        <v>x</v>
      </c>
      <c r="O27" s="249">
        <f t="shared" si="0"/>
        <v>100</v>
      </c>
      <c r="P27" s="250">
        <f>Worksheet!P27</f>
        <v>74</v>
      </c>
      <c r="Q27" s="324">
        <f>Worksheet!Q27</f>
        <v>2.2999999999999998</v>
      </c>
      <c r="R27" s="250">
        <f>Worksheet!R27</f>
        <v>62</v>
      </c>
      <c r="S27" s="325">
        <f>Worksheet!S27</f>
        <v>2.7</v>
      </c>
      <c r="T27" s="113">
        <v>0</v>
      </c>
      <c r="U27" s="244">
        <f t="shared" si="5"/>
        <v>1</v>
      </c>
      <c r="V27" s="221" t="str">
        <f>Worksheet!V27</f>
        <v>HO</v>
      </c>
      <c r="W27" s="221" t="str">
        <f>Worksheet!W27</f>
        <v>5th Avenue 72</v>
      </c>
      <c r="X27" s="222" t="str">
        <f>Worksheet!X27</f>
        <v xml:space="preserve">Flameguard </v>
      </c>
      <c r="Y27" s="57">
        <f>Worksheet!Y27</f>
        <v>0</v>
      </c>
      <c r="Z27" s="115"/>
    </row>
    <row r="28" spans="1:26" s="53" customFormat="1" ht="20.100000000000001" customHeight="1">
      <c r="A28" s="28" t="str">
        <f>HLOOKUP($Z$4,'Data Sheet'!$B$2:$CM$27,19,FALSE)</f>
        <v>P1-18</v>
      </c>
      <c r="B28" s="189" t="str">
        <f>Worksheet!B28</f>
        <v>Bishop Converse</v>
      </c>
      <c r="C28" s="155" t="str">
        <f>Worksheet!C28</f>
        <v>X</v>
      </c>
      <c r="D28" s="112">
        <f>Worksheet!D28</f>
        <v>1</v>
      </c>
      <c r="E28" s="113">
        <f>Worksheet!E28</f>
        <v>0</v>
      </c>
      <c r="F28" s="113">
        <f>Worksheet!F28</f>
        <v>0</v>
      </c>
      <c r="G28" s="111">
        <f>Worksheet!G28</f>
        <v>54</v>
      </c>
      <c r="H28" s="114">
        <f>Worksheet!H28</f>
        <v>3.5</v>
      </c>
      <c r="I28" s="111">
        <f>Worksheet!I28</f>
        <v>100</v>
      </c>
      <c r="J28" s="245">
        <f t="shared" si="1"/>
        <v>0</v>
      </c>
      <c r="K28" s="245">
        <f t="shared" si="2"/>
        <v>54</v>
      </c>
      <c r="L28" s="246" t="str">
        <f t="shared" si="3"/>
        <v>+</v>
      </c>
      <c r="M28" s="247">
        <f>Worksheet!M28</f>
        <v>13</v>
      </c>
      <c r="N28" s="248" t="str">
        <f t="shared" si="4"/>
        <v>x</v>
      </c>
      <c r="O28" s="249">
        <f t="shared" si="0"/>
        <v>100</v>
      </c>
      <c r="P28" s="250">
        <f>Worksheet!P28</f>
        <v>74</v>
      </c>
      <c r="Q28" s="324">
        <f>Worksheet!Q28</f>
        <v>2.2999999999999998</v>
      </c>
      <c r="R28" s="250">
        <f>Worksheet!R28</f>
        <v>62</v>
      </c>
      <c r="S28" s="325">
        <f>Worksheet!S28</f>
        <v>2.7</v>
      </c>
      <c r="T28" s="113">
        <v>0</v>
      </c>
      <c r="U28" s="244">
        <f t="shared" si="5"/>
        <v>1</v>
      </c>
      <c r="V28" s="221" t="str">
        <f>Worksheet!V28</f>
        <v>HO</v>
      </c>
      <c r="W28" s="221" t="str">
        <f>Worksheet!W28</f>
        <v>5th Avenue 72</v>
      </c>
      <c r="X28" s="222" t="str">
        <f>Worksheet!X28</f>
        <v xml:space="preserve">Flameguard </v>
      </c>
      <c r="Y28" s="57">
        <f>Worksheet!Y28</f>
        <v>0</v>
      </c>
      <c r="Z28" s="115"/>
    </row>
    <row r="29" spans="1:26" s="53" customFormat="1" ht="20.100000000000001" customHeight="1">
      <c r="A29" s="28" t="str">
        <f>HLOOKUP($Z$4,'Data Sheet'!$B$2:$CM$27,20,FALSE)</f>
        <v>P1-19</v>
      </c>
      <c r="B29" s="189" t="str">
        <f>Worksheet!B29</f>
        <v>Clerk</v>
      </c>
      <c r="C29" s="155" t="str">
        <f>Worksheet!C29</f>
        <v>X</v>
      </c>
      <c r="D29" s="112">
        <f>Worksheet!D29</f>
        <v>0</v>
      </c>
      <c r="E29" s="113">
        <f>Worksheet!E29</f>
        <v>1</v>
      </c>
      <c r="F29" s="113" t="str">
        <f>Worksheet!F29</f>
        <v>L</v>
      </c>
      <c r="G29" s="111">
        <f>Worksheet!G29</f>
        <v>48</v>
      </c>
      <c r="H29" s="114">
        <f>Worksheet!H29</f>
        <v>3.5</v>
      </c>
      <c r="I29" s="111">
        <f>Worksheet!I29</f>
        <v>104</v>
      </c>
      <c r="J29" s="245" t="str">
        <f t="shared" si="1"/>
        <v>left</v>
      </c>
      <c r="K29" s="245">
        <f t="shared" si="2"/>
        <v>48</v>
      </c>
      <c r="L29" s="246" t="str">
        <f t="shared" si="3"/>
        <v>+</v>
      </c>
      <c r="M29" s="247">
        <f>Worksheet!M29</f>
        <v>6.5</v>
      </c>
      <c r="N29" s="248" t="str">
        <f t="shared" si="4"/>
        <v>x</v>
      </c>
      <c r="O29" s="249">
        <f t="shared" si="0"/>
        <v>104</v>
      </c>
      <c r="P29" s="250">
        <f>Worksheet!P29</f>
        <v>74</v>
      </c>
      <c r="Q29" s="324">
        <f>Worksheet!Q29</f>
        <v>1.85</v>
      </c>
      <c r="R29" s="250">
        <f>Worksheet!R29</f>
        <v>62</v>
      </c>
      <c r="S29" s="325">
        <f>Worksheet!S29</f>
        <v>2.2000000000000002</v>
      </c>
      <c r="T29" s="113">
        <v>0</v>
      </c>
      <c r="U29" s="244">
        <f t="shared" si="5"/>
        <v>1</v>
      </c>
      <c r="V29" s="221" t="str">
        <f>Worksheet!V29</f>
        <v>HO</v>
      </c>
      <c r="W29" s="221" t="str">
        <f>Worksheet!W29</f>
        <v>5th Avenue 72</v>
      </c>
      <c r="X29" s="222" t="str">
        <f>Worksheet!X29</f>
        <v xml:space="preserve">Flameguard </v>
      </c>
      <c r="Y29" s="57">
        <f>Worksheet!Y29</f>
        <v>0</v>
      </c>
      <c r="Z29" s="115"/>
    </row>
    <row r="30" spans="1:26" s="53" customFormat="1" ht="20.100000000000001" customHeight="1">
      <c r="A30" s="28" t="str">
        <f>HLOOKUP($Z$4,'Data Sheet'!$B$2:$CM$27,21,FALSE)</f>
        <v>P1-20</v>
      </c>
      <c r="B30" s="189" t="str">
        <f>Worksheet!B30</f>
        <v>Bishop Windcrest</v>
      </c>
      <c r="C30" s="155" t="str">
        <f>Worksheet!C30</f>
        <v>X</v>
      </c>
      <c r="D30" s="112">
        <f>Worksheet!D30</f>
        <v>1</v>
      </c>
      <c r="E30" s="113">
        <f>Worksheet!E30</f>
        <v>0</v>
      </c>
      <c r="F30" s="113">
        <f>Worksheet!F30</f>
        <v>0</v>
      </c>
      <c r="G30" s="111">
        <f>Worksheet!G30</f>
        <v>60</v>
      </c>
      <c r="H30" s="114">
        <f>Worksheet!H30</f>
        <v>3.5</v>
      </c>
      <c r="I30" s="111">
        <f>Worksheet!I30</f>
        <v>84</v>
      </c>
      <c r="J30" s="326">
        <f t="shared" si="1"/>
        <v>0</v>
      </c>
      <c r="K30" s="326">
        <f t="shared" si="2"/>
        <v>60</v>
      </c>
      <c r="L30" s="327" t="str">
        <f t="shared" si="3"/>
        <v>+</v>
      </c>
      <c r="M30" s="247">
        <f>Worksheet!M30</f>
        <v>13</v>
      </c>
      <c r="N30" s="328" t="str">
        <f t="shared" si="4"/>
        <v>x</v>
      </c>
      <c r="O30" s="329">
        <f t="shared" si="0"/>
        <v>84</v>
      </c>
      <c r="P30" s="250">
        <f>Worksheet!P30</f>
        <v>74</v>
      </c>
      <c r="Q30" s="324">
        <f>Worksheet!Q30</f>
        <v>2.5</v>
      </c>
      <c r="R30" s="250">
        <f>Worksheet!R30</f>
        <v>62</v>
      </c>
      <c r="S30" s="325">
        <f>Worksheet!S30</f>
        <v>2.9</v>
      </c>
      <c r="T30" s="113">
        <v>0</v>
      </c>
      <c r="U30" s="244">
        <f t="shared" si="5"/>
        <v>1</v>
      </c>
      <c r="V30" s="221" t="str">
        <f>Worksheet!V30</f>
        <v>HO</v>
      </c>
      <c r="W30" s="221" t="str">
        <f>Worksheet!W30</f>
        <v>5th Avenue 72</v>
      </c>
      <c r="X30" s="222" t="str">
        <f>Worksheet!X30</f>
        <v xml:space="preserve">Flameguard </v>
      </c>
      <c r="Y30" s="110">
        <f>Worksheet!Y30</f>
        <v>0</v>
      </c>
      <c r="Z30" s="117"/>
    </row>
    <row r="31" spans="1:26" s="53" customFormat="1" ht="20.100000000000001" customHeight="1">
      <c r="A31" s="198"/>
      <c r="B31" s="173" t="s">
        <v>139</v>
      </c>
      <c r="C31" s="174"/>
      <c r="D31" s="175"/>
      <c r="E31" s="174"/>
      <c r="F31" s="174"/>
      <c r="G31" s="176"/>
      <c r="H31" s="177"/>
      <c r="I31" s="330"/>
      <c r="J31" s="330"/>
      <c r="K31" s="331"/>
      <c r="L31" s="331"/>
      <c r="M31" s="331"/>
      <c r="N31" s="331"/>
      <c r="O31" s="332"/>
      <c r="P31" s="331"/>
      <c r="Q31" s="331"/>
      <c r="R31" s="57"/>
      <c r="S31" s="57"/>
      <c r="T31" s="57"/>
      <c r="U31" s="57"/>
      <c r="V31" s="57"/>
      <c r="W31" s="57"/>
      <c r="X31" s="57"/>
      <c r="Y31" s="57"/>
    </row>
    <row r="32" spans="1:26" s="53" customFormat="1" ht="18" customHeight="1">
      <c r="A32" s="198"/>
      <c r="B32" s="178" t="s">
        <v>2553</v>
      </c>
      <c r="C32" s="179"/>
      <c r="D32" s="179"/>
      <c r="E32" s="180"/>
      <c r="F32" s="179"/>
      <c r="G32" s="176"/>
      <c r="H32" s="177"/>
      <c r="I32" s="176"/>
      <c r="J32" s="176"/>
      <c r="K32" s="174"/>
      <c r="L32" s="174"/>
      <c r="M32" s="81"/>
      <c r="N32" s="81"/>
      <c r="O32" s="305"/>
      <c r="P32" s="306"/>
      <c r="Q32" s="306"/>
      <c r="R32" s="57"/>
      <c r="S32" s="57"/>
      <c r="T32" s="57"/>
      <c r="U32" s="66"/>
      <c r="V32" s="303" t="s">
        <v>2559</v>
      </c>
      <c r="W32" s="333">
        <f>Worksheet!Z32</f>
        <v>230.5</v>
      </c>
      <c r="X32" s="66"/>
      <c r="Y32" s="66"/>
      <c r="Z32" s="43"/>
    </row>
    <row r="33" spans="1:26" s="53" customFormat="1" ht="15.95" customHeight="1" thickBot="1">
      <c r="A33" s="198"/>
      <c r="B33" s="131" t="s">
        <v>69</v>
      </c>
      <c r="C33" s="132"/>
      <c r="D33" s="133"/>
      <c r="E33" s="132"/>
      <c r="F33" s="134" t="str">
        <f>Worksheet!F33</f>
        <v>XX</v>
      </c>
      <c r="G33" s="57"/>
      <c r="H33" s="80"/>
      <c r="O33" s="129"/>
      <c r="P33" s="43"/>
      <c r="Q33" s="43"/>
      <c r="R33" s="57"/>
      <c r="S33" s="66"/>
      <c r="T33" s="66"/>
      <c r="U33" s="66"/>
      <c r="V33" s="303" t="s">
        <v>2560</v>
      </c>
      <c r="W33" s="333">
        <f>Worksheet!Z33</f>
        <v>254.875</v>
      </c>
    </row>
    <row r="34" spans="1:26" s="53" customFormat="1" ht="18" customHeight="1" thickBot="1">
      <c r="A34" s="198"/>
      <c r="B34" s="138" t="s">
        <v>70</v>
      </c>
      <c r="C34" s="128"/>
      <c r="D34" s="139"/>
      <c r="E34" s="132"/>
      <c r="F34" s="134">
        <f>Worksheet!F34</f>
        <v>0</v>
      </c>
      <c r="G34" s="57"/>
      <c r="H34" s="80"/>
      <c r="O34" s="304" t="s">
        <v>2552</v>
      </c>
      <c r="P34" s="342">
        <f>Worksheet!O34</f>
        <v>17.790000000000003</v>
      </c>
      <c r="Q34" s="43"/>
      <c r="R34" s="256">
        <v>1</v>
      </c>
      <c r="S34" s="66"/>
      <c r="T34" s="66"/>
      <c r="U34" s="66"/>
      <c r="V34" s="66"/>
      <c r="W34" s="66"/>
    </row>
    <row r="35" spans="1:26" s="53" customFormat="1" ht="18" customHeight="1">
      <c r="A35" s="198"/>
      <c r="B35" s="138" t="s">
        <v>18</v>
      </c>
      <c r="C35" s="128"/>
      <c r="D35" s="139"/>
      <c r="E35" s="132"/>
      <c r="F35" s="134">
        <f>Worksheet!F35</f>
        <v>0</v>
      </c>
      <c r="G35" s="57"/>
      <c r="H35" s="80"/>
      <c r="P35" s="141"/>
      <c r="R35" s="57"/>
      <c r="S35" s="142"/>
      <c r="T35" s="57"/>
      <c r="U35" s="57"/>
      <c r="V35" s="57"/>
      <c r="W35" s="57"/>
      <c r="X35" s="57"/>
      <c r="Y35" s="57"/>
      <c r="Z35" s="43"/>
    </row>
    <row r="36" spans="1:26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</row>
    <row r="37" spans="1:26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Worksheet!X37</f>
        <v>Doyle</v>
      </c>
      <c r="Y37" s="258"/>
    </row>
    <row r="38" spans="1:26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</row>
    <row r="39" spans="1:26" s="43" customFormat="1" ht="18" customHeight="1">
      <c r="A39" s="198"/>
      <c r="D39" s="149"/>
      <c r="H39" s="46"/>
      <c r="O39" s="129"/>
    </row>
    <row r="40" spans="1:26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</row>
    <row r="41" spans="1:26" ht="15.95" customHeight="1"/>
    <row r="42" spans="1:26" ht="15.95" customHeight="1"/>
    <row r="43" spans="1:26" ht="15.95" customHeight="1"/>
  </sheetData>
  <sheetProtection selectLockedCells="1"/>
  <protectedRanges>
    <protectedRange password="CC3B" sqref="AA28:HR31 K28:L30 T28:U30 Z28:Z30 N28:O30" name="Range2"/>
    <protectedRange password="CC3B" sqref="S11:S30" name="widths_1"/>
  </protectedRanges>
  <mergeCells count="6">
    <mergeCell ref="V37:W37"/>
    <mergeCell ref="O1:S1"/>
    <mergeCell ref="P4:Q4"/>
    <mergeCell ref="R4:T4"/>
    <mergeCell ref="C9:C10"/>
    <mergeCell ref="P9:P10"/>
  </mergeCells>
  <conditionalFormatting sqref="R4:T4">
    <cfRule type="containsBlanks" dxfId="4" priority="1">
      <formula>LEN(TRIM(R4))=0</formula>
    </cfRule>
  </conditionalFormatting>
  <pageMargins left="0.18" right="0.25" top="0.25" bottom="0.28000000000000003" header="0.5" footer="0.5"/>
  <pageSetup scale="68" orientation="landscape" horizontalDpi="1200" verticalDpi="1200" r:id="rId1"/>
  <headerFooter alignWithMargins="0">
    <oddFooter>&amp;Z&amp;F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28575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247650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438150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28575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28575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9525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4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285750</xdr:colOff>
                    <xdr:row>35</xdr:row>
                    <xdr:rowOff>123825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50888-017C-4536-8B07-96BD28E8B063}">
  <dimension ref="A2:CM150"/>
  <sheetViews>
    <sheetView topLeftCell="A42" workbookViewId="0">
      <selection activeCell="P40" sqref="P40"/>
    </sheetView>
  </sheetViews>
  <sheetFormatPr defaultColWidth="9.140625" defaultRowHeight="12.75"/>
  <cols>
    <col min="1" max="1" width="17" style="201" customWidth="1"/>
    <col min="2" max="2" width="10.140625" style="201" customWidth="1"/>
    <col min="3" max="3" width="9.42578125" style="201" customWidth="1"/>
    <col min="4" max="16384" width="9.140625" style="201"/>
  </cols>
  <sheetData>
    <row r="2" spans="1:91" s="204" customFormat="1" ht="15.75" customHeight="1">
      <c r="A2" s="206" t="s">
        <v>2296</v>
      </c>
      <c r="B2" s="205">
        <v>1</v>
      </c>
      <c r="C2" s="205">
        <v>2</v>
      </c>
      <c r="D2" s="205">
        <v>3</v>
      </c>
      <c r="E2" s="205">
        <v>4</v>
      </c>
      <c r="F2" s="205">
        <v>5</v>
      </c>
      <c r="G2" s="205">
        <v>6</v>
      </c>
      <c r="H2" s="205">
        <v>7</v>
      </c>
      <c r="I2" s="205">
        <v>8</v>
      </c>
      <c r="J2" s="205">
        <v>9</v>
      </c>
      <c r="K2" s="205">
        <v>10</v>
      </c>
      <c r="L2" s="205">
        <v>11</v>
      </c>
      <c r="M2" s="205">
        <v>12</v>
      </c>
      <c r="N2" s="205">
        <v>13</v>
      </c>
      <c r="O2" s="205">
        <v>14</v>
      </c>
      <c r="P2" s="205">
        <v>15</v>
      </c>
      <c r="Q2" s="205">
        <v>16</v>
      </c>
      <c r="R2" s="205">
        <v>17</v>
      </c>
      <c r="S2" s="205">
        <v>18</v>
      </c>
      <c r="T2" s="205">
        <v>19</v>
      </c>
      <c r="U2" s="205">
        <v>20</v>
      </c>
      <c r="V2" s="205">
        <v>21</v>
      </c>
      <c r="W2" s="205">
        <v>22</v>
      </c>
      <c r="X2" s="205">
        <v>23</v>
      </c>
      <c r="Y2" s="205">
        <v>24</v>
      </c>
      <c r="Z2" s="205">
        <v>25</v>
      </c>
      <c r="AA2" s="205">
        <v>26</v>
      </c>
      <c r="AB2" s="205">
        <v>27</v>
      </c>
      <c r="AC2" s="205">
        <v>28</v>
      </c>
      <c r="AD2" s="205">
        <v>29</v>
      </c>
      <c r="AE2" s="205">
        <v>30</v>
      </c>
      <c r="AF2" s="205">
        <v>31</v>
      </c>
      <c r="AG2" s="205">
        <v>32</v>
      </c>
      <c r="AH2" s="205">
        <v>33</v>
      </c>
      <c r="AI2" s="205">
        <v>34</v>
      </c>
      <c r="AJ2" s="205">
        <v>35</v>
      </c>
      <c r="AK2" s="205">
        <v>36</v>
      </c>
      <c r="AL2" s="205">
        <v>37</v>
      </c>
      <c r="AM2" s="205">
        <v>38</v>
      </c>
      <c r="AN2" s="205">
        <v>39</v>
      </c>
      <c r="AO2" s="205">
        <v>40</v>
      </c>
      <c r="AP2" s="205">
        <v>41</v>
      </c>
      <c r="AQ2" s="205">
        <v>42</v>
      </c>
      <c r="AR2" s="205">
        <v>43</v>
      </c>
      <c r="AS2" s="205">
        <v>44</v>
      </c>
      <c r="AT2" s="205">
        <v>45</v>
      </c>
      <c r="AU2" s="205">
        <v>46</v>
      </c>
      <c r="AV2" s="205">
        <v>47</v>
      </c>
      <c r="AW2" s="205">
        <v>48</v>
      </c>
      <c r="AX2" s="205">
        <v>49</v>
      </c>
      <c r="AY2" s="205">
        <v>50</v>
      </c>
      <c r="AZ2" s="205">
        <v>51</v>
      </c>
      <c r="BA2" s="205">
        <v>52</v>
      </c>
      <c r="BB2" s="205">
        <v>53</v>
      </c>
      <c r="BC2" s="205">
        <v>54</v>
      </c>
      <c r="BD2" s="205">
        <v>55</v>
      </c>
      <c r="BE2" s="205">
        <v>56</v>
      </c>
      <c r="BF2" s="205">
        <v>57</v>
      </c>
      <c r="BG2" s="205">
        <v>58</v>
      </c>
      <c r="BH2" s="205">
        <v>59</v>
      </c>
      <c r="BI2" s="205">
        <v>60</v>
      </c>
      <c r="BJ2" s="205">
        <v>61</v>
      </c>
      <c r="BK2" s="205">
        <v>62</v>
      </c>
      <c r="BL2" s="205">
        <v>63</v>
      </c>
      <c r="BM2" s="205">
        <v>64</v>
      </c>
      <c r="BN2" s="205">
        <v>65</v>
      </c>
      <c r="BO2" s="205">
        <v>66</v>
      </c>
      <c r="BP2" s="205">
        <v>67</v>
      </c>
      <c r="BQ2" s="205">
        <v>68</v>
      </c>
      <c r="BR2" s="205">
        <v>69</v>
      </c>
      <c r="BS2" s="205">
        <v>70</v>
      </c>
      <c r="BT2" s="205">
        <v>71</v>
      </c>
      <c r="BU2" s="205">
        <v>72</v>
      </c>
      <c r="BV2" s="205">
        <v>73</v>
      </c>
      <c r="BW2" s="205">
        <v>74</v>
      </c>
      <c r="BX2" s="205">
        <v>75</v>
      </c>
      <c r="BY2" s="205">
        <v>76</v>
      </c>
      <c r="BZ2" s="205">
        <v>77</v>
      </c>
      <c r="CA2" s="205">
        <v>78</v>
      </c>
      <c r="CB2" s="205">
        <v>79</v>
      </c>
      <c r="CC2" s="205">
        <v>80</v>
      </c>
      <c r="CD2" s="205">
        <v>81</v>
      </c>
      <c r="CE2" s="205">
        <v>82</v>
      </c>
      <c r="CF2" s="205">
        <v>83</v>
      </c>
      <c r="CG2" s="205">
        <v>84</v>
      </c>
      <c r="CH2" s="205">
        <v>85</v>
      </c>
      <c r="CI2" s="205">
        <v>86</v>
      </c>
      <c r="CJ2" s="205">
        <v>87</v>
      </c>
      <c r="CK2" s="205">
        <v>88</v>
      </c>
      <c r="CL2" s="205">
        <v>89</v>
      </c>
      <c r="CM2" s="205">
        <v>90</v>
      </c>
    </row>
    <row r="3" spans="1:91">
      <c r="A3" s="203" t="s">
        <v>2295</v>
      </c>
      <c r="B3" s="201" t="s">
        <v>2294</v>
      </c>
      <c r="C3" s="201" t="s">
        <v>593</v>
      </c>
      <c r="D3" s="201" t="s">
        <v>2323</v>
      </c>
      <c r="E3" s="201" t="s">
        <v>2353</v>
      </c>
      <c r="F3" s="201" t="s">
        <v>2383</v>
      </c>
      <c r="G3" s="201" t="s">
        <v>2413</v>
      </c>
      <c r="H3" s="201" t="s">
        <v>2293</v>
      </c>
      <c r="I3" s="201" t="s">
        <v>2292</v>
      </c>
      <c r="J3" s="201" t="s">
        <v>2291</v>
      </c>
      <c r="K3" s="201" t="s">
        <v>2290</v>
      </c>
      <c r="L3" s="201" t="s">
        <v>2289</v>
      </c>
      <c r="M3" s="201" t="s">
        <v>2288</v>
      </c>
      <c r="N3" s="201" t="s">
        <v>2287</v>
      </c>
      <c r="O3" s="201" t="s">
        <v>2286</v>
      </c>
      <c r="P3" s="201" t="s">
        <v>2285</v>
      </c>
      <c r="Q3" s="201" t="s">
        <v>2284</v>
      </c>
      <c r="R3" s="201" t="s">
        <v>2283</v>
      </c>
      <c r="S3" s="201" t="s">
        <v>2282</v>
      </c>
      <c r="T3" s="201" t="s">
        <v>2281</v>
      </c>
      <c r="U3" s="201" t="s">
        <v>2280</v>
      </c>
      <c r="V3" s="201" t="s">
        <v>2279</v>
      </c>
      <c r="W3" s="201" t="s">
        <v>2278</v>
      </c>
      <c r="X3" s="201" t="s">
        <v>2277</v>
      </c>
      <c r="Y3" s="201" t="s">
        <v>2276</v>
      </c>
      <c r="Z3" s="201" t="s">
        <v>2275</v>
      </c>
      <c r="AA3" s="201" t="s">
        <v>2274</v>
      </c>
      <c r="AB3" s="201" t="s">
        <v>2273</v>
      </c>
      <c r="AC3" s="201" t="s">
        <v>2272</v>
      </c>
      <c r="AD3" s="201" t="s">
        <v>2271</v>
      </c>
      <c r="AE3" s="201" t="s">
        <v>2270</v>
      </c>
      <c r="AF3" s="201" t="s">
        <v>2269</v>
      </c>
      <c r="AG3" s="201" t="s">
        <v>2268</v>
      </c>
      <c r="AH3" s="201" t="s">
        <v>2267</v>
      </c>
      <c r="AI3" s="201" t="s">
        <v>2266</v>
      </c>
      <c r="AJ3" s="201" t="s">
        <v>2265</v>
      </c>
      <c r="AK3" s="201" t="s">
        <v>2264</v>
      </c>
      <c r="AL3" s="201" t="s">
        <v>2263</v>
      </c>
      <c r="AM3" s="201" t="s">
        <v>2262</v>
      </c>
      <c r="AN3" s="201" t="s">
        <v>2261</v>
      </c>
      <c r="AO3" s="201" t="s">
        <v>2260</v>
      </c>
      <c r="AP3" s="201" t="s">
        <v>2259</v>
      </c>
      <c r="AQ3" s="201" t="s">
        <v>2258</v>
      </c>
      <c r="AR3" s="201" t="s">
        <v>2257</v>
      </c>
      <c r="AS3" s="201" t="s">
        <v>2256</v>
      </c>
      <c r="AT3" s="201" t="s">
        <v>2255</v>
      </c>
      <c r="AU3" s="201" t="s">
        <v>2254</v>
      </c>
      <c r="AV3" s="201" t="s">
        <v>2253</v>
      </c>
      <c r="AW3" s="201" t="s">
        <v>2252</v>
      </c>
      <c r="AX3" s="201" t="s">
        <v>2251</v>
      </c>
      <c r="AY3" s="201" t="s">
        <v>2250</v>
      </c>
      <c r="AZ3" s="201" t="s">
        <v>2249</v>
      </c>
      <c r="BA3" s="201" t="s">
        <v>2248</v>
      </c>
      <c r="BB3" s="201" t="s">
        <v>2247</v>
      </c>
      <c r="BC3" s="201" t="s">
        <v>2246</v>
      </c>
      <c r="BD3" s="201" t="s">
        <v>2245</v>
      </c>
      <c r="BE3" s="201" t="s">
        <v>2244</v>
      </c>
      <c r="BF3" s="201" t="s">
        <v>2243</v>
      </c>
      <c r="BG3" s="201" t="s">
        <v>2242</v>
      </c>
      <c r="BH3" s="201" t="s">
        <v>2241</v>
      </c>
      <c r="BI3" s="201" t="s">
        <v>2240</v>
      </c>
      <c r="BJ3" s="201" t="s">
        <v>2239</v>
      </c>
      <c r="BK3" s="201" t="s">
        <v>2238</v>
      </c>
      <c r="BL3" s="201" t="s">
        <v>2237</v>
      </c>
      <c r="BM3" s="201" t="s">
        <v>2236</v>
      </c>
      <c r="BN3" s="201" t="s">
        <v>2235</v>
      </c>
      <c r="BO3" s="201" t="s">
        <v>2234</v>
      </c>
      <c r="BP3" s="201" t="s">
        <v>2233</v>
      </c>
      <c r="BQ3" s="201" t="s">
        <v>2232</v>
      </c>
      <c r="BR3" s="201" t="s">
        <v>2231</v>
      </c>
      <c r="BS3" s="201" t="s">
        <v>2230</v>
      </c>
      <c r="BT3" s="201" t="s">
        <v>2229</v>
      </c>
      <c r="BU3" s="201" t="s">
        <v>2228</v>
      </c>
      <c r="BV3" s="201" t="s">
        <v>2227</v>
      </c>
      <c r="BW3" s="201" t="s">
        <v>2226</v>
      </c>
      <c r="BX3" s="201" t="s">
        <v>2225</v>
      </c>
      <c r="BY3" s="201" t="s">
        <v>2224</v>
      </c>
      <c r="BZ3" s="201" t="s">
        <v>2223</v>
      </c>
      <c r="CA3" s="201" t="s">
        <v>2222</v>
      </c>
      <c r="CB3" s="201" t="s">
        <v>2221</v>
      </c>
      <c r="CC3" s="201" t="s">
        <v>2220</v>
      </c>
      <c r="CD3" s="201" t="s">
        <v>2219</v>
      </c>
      <c r="CE3" s="201" t="s">
        <v>2218</v>
      </c>
      <c r="CF3" s="201" t="s">
        <v>2217</v>
      </c>
      <c r="CG3" s="201" t="s">
        <v>2216</v>
      </c>
      <c r="CH3" s="201" t="s">
        <v>2215</v>
      </c>
      <c r="CI3" s="201" t="s">
        <v>2214</v>
      </c>
      <c r="CJ3" s="201" t="s">
        <v>2213</v>
      </c>
      <c r="CK3" s="201" t="s">
        <v>2212</v>
      </c>
      <c r="CL3" s="201" t="s">
        <v>2211</v>
      </c>
      <c r="CM3" s="201" t="s">
        <v>2210</v>
      </c>
    </row>
    <row r="4" spans="1:91">
      <c r="A4" s="202"/>
      <c r="B4" s="201" t="s">
        <v>2209</v>
      </c>
      <c r="C4" s="201" t="s">
        <v>507</v>
      </c>
      <c r="D4" s="201" t="s">
        <v>2324</v>
      </c>
      <c r="E4" s="201" t="s">
        <v>2354</v>
      </c>
      <c r="F4" s="201" t="s">
        <v>2384</v>
      </c>
      <c r="G4" s="201" t="s">
        <v>2414</v>
      </c>
      <c r="H4" s="201" t="s">
        <v>2208</v>
      </c>
      <c r="I4" s="201" t="s">
        <v>2207</v>
      </c>
      <c r="J4" s="201" t="s">
        <v>2206</v>
      </c>
      <c r="K4" s="201" t="s">
        <v>2205</v>
      </c>
      <c r="L4" s="201" t="s">
        <v>2204</v>
      </c>
      <c r="M4" s="201" t="s">
        <v>2203</v>
      </c>
      <c r="N4" s="201" t="s">
        <v>2202</v>
      </c>
      <c r="O4" s="201" t="s">
        <v>2201</v>
      </c>
      <c r="P4" s="201" t="s">
        <v>2200</v>
      </c>
      <c r="Q4" s="201" t="s">
        <v>2199</v>
      </c>
      <c r="R4" s="201" t="s">
        <v>2198</v>
      </c>
      <c r="S4" s="201" t="s">
        <v>2197</v>
      </c>
      <c r="T4" s="201" t="s">
        <v>2196</v>
      </c>
      <c r="U4" s="201" t="s">
        <v>2195</v>
      </c>
      <c r="V4" s="201" t="s">
        <v>2194</v>
      </c>
      <c r="W4" s="201" t="s">
        <v>2193</v>
      </c>
      <c r="X4" s="201" t="s">
        <v>2192</v>
      </c>
      <c r="Y4" s="201" t="s">
        <v>2191</v>
      </c>
      <c r="Z4" s="201" t="s">
        <v>2190</v>
      </c>
      <c r="AA4" s="201" t="s">
        <v>2189</v>
      </c>
      <c r="AB4" s="201" t="s">
        <v>2188</v>
      </c>
      <c r="AC4" s="201" t="s">
        <v>2187</v>
      </c>
      <c r="AD4" s="201" t="s">
        <v>2186</v>
      </c>
      <c r="AE4" s="201" t="s">
        <v>2185</v>
      </c>
      <c r="AF4" s="201" t="s">
        <v>2184</v>
      </c>
      <c r="AG4" s="201" t="s">
        <v>2183</v>
      </c>
      <c r="AH4" s="201" t="s">
        <v>2182</v>
      </c>
      <c r="AI4" s="201" t="s">
        <v>2181</v>
      </c>
      <c r="AJ4" s="201" t="s">
        <v>2180</v>
      </c>
      <c r="AK4" s="201" t="s">
        <v>2179</v>
      </c>
      <c r="AL4" s="201" t="s">
        <v>2178</v>
      </c>
      <c r="AM4" s="201" t="s">
        <v>2177</v>
      </c>
      <c r="AN4" s="201" t="s">
        <v>2176</v>
      </c>
      <c r="AO4" s="201" t="s">
        <v>2175</v>
      </c>
      <c r="AP4" s="201" t="s">
        <v>2174</v>
      </c>
      <c r="AQ4" s="201" t="s">
        <v>2173</v>
      </c>
      <c r="AR4" s="201" t="s">
        <v>2172</v>
      </c>
      <c r="AS4" s="201" t="s">
        <v>2171</v>
      </c>
      <c r="AT4" s="201" t="s">
        <v>2170</v>
      </c>
      <c r="AU4" s="201" t="s">
        <v>2169</v>
      </c>
      <c r="AV4" s="201" t="s">
        <v>2168</v>
      </c>
      <c r="AW4" s="201" t="s">
        <v>2167</v>
      </c>
      <c r="AX4" s="201" t="s">
        <v>2166</v>
      </c>
      <c r="AY4" s="201" t="s">
        <v>2165</v>
      </c>
      <c r="AZ4" s="201" t="s">
        <v>2164</v>
      </c>
      <c r="BA4" s="201" t="s">
        <v>2163</v>
      </c>
      <c r="BB4" s="201" t="s">
        <v>2162</v>
      </c>
      <c r="BC4" s="201" t="s">
        <v>2161</v>
      </c>
      <c r="BD4" s="201" t="s">
        <v>2160</v>
      </c>
      <c r="BE4" s="201" t="s">
        <v>2159</v>
      </c>
      <c r="BF4" s="201" t="s">
        <v>2158</v>
      </c>
      <c r="BG4" s="201" t="s">
        <v>2157</v>
      </c>
      <c r="BH4" s="201" t="s">
        <v>2156</v>
      </c>
      <c r="BI4" s="201" t="s">
        <v>2155</v>
      </c>
      <c r="BJ4" s="201" t="s">
        <v>2154</v>
      </c>
      <c r="BK4" s="201" t="s">
        <v>2153</v>
      </c>
      <c r="BL4" s="201" t="s">
        <v>2152</v>
      </c>
      <c r="BM4" s="201" t="s">
        <v>2151</v>
      </c>
      <c r="BN4" s="201" t="s">
        <v>2150</v>
      </c>
      <c r="BO4" s="201" t="s">
        <v>2149</v>
      </c>
      <c r="BP4" s="201" t="s">
        <v>2148</v>
      </c>
      <c r="BQ4" s="201" t="s">
        <v>2147</v>
      </c>
      <c r="BR4" s="201" t="s">
        <v>2146</v>
      </c>
      <c r="BS4" s="201" t="s">
        <v>2145</v>
      </c>
      <c r="BT4" s="201" t="s">
        <v>2144</v>
      </c>
      <c r="BU4" s="201" t="s">
        <v>2143</v>
      </c>
      <c r="BV4" s="201" t="s">
        <v>2142</v>
      </c>
      <c r="BW4" s="201" t="s">
        <v>2141</v>
      </c>
      <c r="BX4" s="201" t="s">
        <v>2140</v>
      </c>
      <c r="BY4" s="201" t="s">
        <v>2139</v>
      </c>
      <c r="BZ4" s="201" t="s">
        <v>2138</v>
      </c>
      <c r="CA4" s="201" t="s">
        <v>2137</v>
      </c>
      <c r="CB4" s="201" t="s">
        <v>2136</v>
      </c>
      <c r="CC4" s="201" t="s">
        <v>2135</v>
      </c>
      <c r="CD4" s="201" t="s">
        <v>2134</v>
      </c>
      <c r="CE4" s="201" t="s">
        <v>2133</v>
      </c>
      <c r="CF4" s="201" t="s">
        <v>2132</v>
      </c>
      <c r="CG4" s="201" t="s">
        <v>2131</v>
      </c>
      <c r="CH4" s="201" t="s">
        <v>2130</v>
      </c>
      <c r="CI4" s="201" t="s">
        <v>2129</v>
      </c>
      <c r="CJ4" s="201" t="s">
        <v>2128</v>
      </c>
      <c r="CK4" s="201" t="s">
        <v>2127</v>
      </c>
      <c r="CL4" s="201" t="s">
        <v>2126</v>
      </c>
      <c r="CM4" s="201" t="s">
        <v>2125</v>
      </c>
    </row>
    <row r="5" spans="1:91">
      <c r="A5" s="202"/>
      <c r="B5" s="201" t="s">
        <v>2124</v>
      </c>
      <c r="C5" s="201" t="s">
        <v>421</v>
      </c>
      <c r="D5" s="201" t="s">
        <v>2325</v>
      </c>
      <c r="E5" s="201" t="s">
        <v>2355</v>
      </c>
      <c r="F5" s="201" t="s">
        <v>2385</v>
      </c>
      <c r="G5" s="201" t="s">
        <v>2415</v>
      </c>
      <c r="H5" s="201" t="s">
        <v>2123</v>
      </c>
      <c r="I5" s="201" t="s">
        <v>2122</v>
      </c>
      <c r="J5" s="201" t="s">
        <v>2121</v>
      </c>
      <c r="K5" s="201" t="s">
        <v>2120</v>
      </c>
      <c r="L5" s="201" t="s">
        <v>2119</v>
      </c>
      <c r="M5" s="201" t="s">
        <v>2118</v>
      </c>
      <c r="N5" s="201" t="s">
        <v>2117</v>
      </c>
      <c r="O5" s="201" t="s">
        <v>2116</v>
      </c>
      <c r="P5" s="201" t="s">
        <v>2115</v>
      </c>
      <c r="Q5" s="201" t="s">
        <v>2114</v>
      </c>
      <c r="R5" s="201" t="s">
        <v>2113</v>
      </c>
      <c r="S5" s="201" t="s">
        <v>2112</v>
      </c>
      <c r="T5" s="201" t="s">
        <v>2111</v>
      </c>
      <c r="U5" s="201" t="s">
        <v>2110</v>
      </c>
      <c r="V5" s="201" t="s">
        <v>2109</v>
      </c>
      <c r="W5" s="201" t="s">
        <v>2108</v>
      </c>
      <c r="X5" s="201" t="s">
        <v>2107</v>
      </c>
      <c r="Y5" s="201" t="s">
        <v>2106</v>
      </c>
      <c r="Z5" s="201" t="s">
        <v>2105</v>
      </c>
      <c r="AA5" s="201" t="s">
        <v>2104</v>
      </c>
      <c r="AB5" s="201" t="s">
        <v>2103</v>
      </c>
      <c r="AC5" s="201" t="s">
        <v>2102</v>
      </c>
      <c r="AD5" s="201" t="s">
        <v>2101</v>
      </c>
      <c r="AE5" s="201" t="s">
        <v>2100</v>
      </c>
      <c r="AF5" s="201" t="s">
        <v>2099</v>
      </c>
      <c r="AG5" s="201" t="s">
        <v>2098</v>
      </c>
      <c r="AH5" s="201" t="s">
        <v>2097</v>
      </c>
      <c r="AI5" s="201" t="s">
        <v>2096</v>
      </c>
      <c r="AJ5" s="201" t="s">
        <v>2095</v>
      </c>
      <c r="AK5" s="201" t="s">
        <v>2094</v>
      </c>
      <c r="AL5" s="201" t="s">
        <v>2093</v>
      </c>
      <c r="AM5" s="201" t="s">
        <v>2092</v>
      </c>
      <c r="AN5" s="201" t="s">
        <v>2091</v>
      </c>
      <c r="AO5" s="201" t="s">
        <v>2090</v>
      </c>
      <c r="AP5" s="201" t="s">
        <v>2089</v>
      </c>
      <c r="AQ5" s="201" t="s">
        <v>2088</v>
      </c>
      <c r="AR5" s="201" t="s">
        <v>2087</v>
      </c>
      <c r="AS5" s="201" t="s">
        <v>2086</v>
      </c>
      <c r="AT5" s="201" t="s">
        <v>2085</v>
      </c>
      <c r="AU5" s="201" t="s">
        <v>2084</v>
      </c>
      <c r="AV5" s="201" t="s">
        <v>2083</v>
      </c>
      <c r="AW5" s="201" t="s">
        <v>2082</v>
      </c>
      <c r="AX5" s="201" t="s">
        <v>2081</v>
      </c>
      <c r="AY5" s="201" t="s">
        <v>2080</v>
      </c>
      <c r="AZ5" s="201" t="s">
        <v>2079</v>
      </c>
      <c r="BA5" s="201" t="s">
        <v>2078</v>
      </c>
      <c r="BB5" s="201" t="s">
        <v>2077</v>
      </c>
      <c r="BC5" s="201" t="s">
        <v>2076</v>
      </c>
      <c r="BD5" s="201" t="s">
        <v>2075</v>
      </c>
      <c r="BE5" s="201" t="s">
        <v>2074</v>
      </c>
      <c r="BF5" s="201" t="s">
        <v>2073</v>
      </c>
      <c r="BG5" s="201" t="s">
        <v>2072</v>
      </c>
      <c r="BH5" s="201" t="s">
        <v>2071</v>
      </c>
      <c r="BI5" s="201" t="s">
        <v>2070</v>
      </c>
      <c r="BJ5" s="201" t="s">
        <v>2069</v>
      </c>
      <c r="BK5" s="201" t="s">
        <v>2068</v>
      </c>
      <c r="BL5" s="201" t="s">
        <v>2067</v>
      </c>
      <c r="BM5" s="201" t="s">
        <v>2066</v>
      </c>
      <c r="BN5" s="201" t="s">
        <v>2065</v>
      </c>
      <c r="BO5" s="201" t="s">
        <v>2064</v>
      </c>
      <c r="BP5" s="201" t="s">
        <v>2063</v>
      </c>
      <c r="BQ5" s="201" t="s">
        <v>2062</v>
      </c>
      <c r="BR5" s="201" t="s">
        <v>2061</v>
      </c>
      <c r="BS5" s="201" t="s">
        <v>2060</v>
      </c>
      <c r="BT5" s="201" t="s">
        <v>2059</v>
      </c>
      <c r="BU5" s="201" t="s">
        <v>2058</v>
      </c>
      <c r="BV5" s="201" t="s">
        <v>2057</v>
      </c>
      <c r="BW5" s="201" t="s">
        <v>2056</v>
      </c>
      <c r="BX5" s="201" t="s">
        <v>2055</v>
      </c>
      <c r="BY5" s="201" t="s">
        <v>2054</v>
      </c>
      <c r="BZ5" s="201" t="s">
        <v>2053</v>
      </c>
      <c r="CA5" s="201" t="s">
        <v>2052</v>
      </c>
      <c r="CB5" s="201" t="s">
        <v>2051</v>
      </c>
      <c r="CC5" s="201" t="s">
        <v>2050</v>
      </c>
      <c r="CD5" s="201" t="s">
        <v>2049</v>
      </c>
      <c r="CE5" s="201" t="s">
        <v>2048</v>
      </c>
      <c r="CF5" s="201" t="s">
        <v>2047</v>
      </c>
      <c r="CG5" s="201" t="s">
        <v>2046</v>
      </c>
      <c r="CH5" s="201" t="s">
        <v>2045</v>
      </c>
      <c r="CI5" s="201" t="s">
        <v>2044</v>
      </c>
      <c r="CJ5" s="201" t="s">
        <v>2043</v>
      </c>
      <c r="CK5" s="201" t="s">
        <v>2042</v>
      </c>
      <c r="CL5" s="201" t="s">
        <v>2041</v>
      </c>
      <c r="CM5" s="201" t="s">
        <v>2040</v>
      </c>
    </row>
    <row r="6" spans="1:91">
      <c r="A6" s="202"/>
      <c r="B6" s="201" t="s">
        <v>2039</v>
      </c>
      <c r="C6" s="201" t="s">
        <v>335</v>
      </c>
      <c r="D6" s="201" t="s">
        <v>2326</v>
      </c>
      <c r="E6" s="201" t="s">
        <v>2356</v>
      </c>
      <c r="F6" s="201" t="s">
        <v>2386</v>
      </c>
      <c r="G6" s="201" t="s">
        <v>2416</v>
      </c>
      <c r="H6" s="201" t="s">
        <v>2038</v>
      </c>
      <c r="I6" s="201" t="s">
        <v>2037</v>
      </c>
      <c r="J6" s="201" t="s">
        <v>2036</v>
      </c>
      <c r="K6" s="201" t="s">
        <v>2035</v>
      </c>
      <c r="L6" s="201" t="s">
        <v>2034</v>
      </c>
      <c r="M6" s="201" t="s">
        <v>2033</v>
      </c>
      <c r="N6" s="201" t="s">
        <v>2032</v>
      </c>
      <c r="O6" s="201" t="s">
        <v>2031</v>
      </c>
      <c r="P6" s="201" t="s">
        <v>2030</v>
      </c>
      <c r="Q6" s="201" t="s">
        <v>2029</v>
      </c>
      <c r="R6" s="201" t="s">
        <v>2028</v>
      </c>
      <c r="S6" s="201" t="s">
        <v>2027</v>
      </c>
      <c r="T6" s="201" t="s">
        <v>2026</v>
      </c>
      <c r="U6" s="201" t="s">
        <v>2025</v>
      </c>
      <c r="V6" s="201" t="s">
        <v>2024</v>
      </c>
      <c r="W6" s="201" t="s">
        <v>2023</v>
      </c>
      <c r="X6" s="201" t="s">
        <v>2022</v>
      </c>
      <c r="Y6" s="201" t="s">
        <v>2021</v>
      </c>
      <c r="Z6" s="201" t="s">
        <v>2020</v>
      </c>
      <c r="AA6" s="201" t="s">
        <v>2019</v>
      </c>
      <c r="AB6" s="201" t="s">
        <v>2018</v>
      </c>
      <c r="AC6" s="201" t="s">
        <v>2017</v>
      </c>
      <c r="AD6" s="201" t="s">
        <v>2016</v>
      </c>
      <c r="AE6" s="201" t="s">
        <v>2015</v>
      </c>
      <c r="AF6" s="201" t="s">
        <v>2014</v>
      </c>
      <c r="AG6" s="201" t="s">
        <v>2013</v>
      </c>
      <c r="AH6" s="201" t="s">
        <v>2012</v>
      </c>
      <c r="AI6" s="201" t="s">
        <v>2011</v>
      </c>
      <c r="AJ6" s="201" t="s">
        <v>2010</v>
      </c>
      <c r="AK6" s="201" t="s">
        <v>2009</v>
      </c>
      <c r="AL6" s="201" t="s">
        <v>2008</v>
      </c>
      <c r="AM6" s="201" t="s">
        <v>2007</v>
      </c>
      <c r="AN6" s="201" t="s">
        <v>2006</v>
      </c>
      <c r="AO6" s="201" t="s">
        <v>2005</v>
      </c>
      <c r="AP6" s="201" t="s">
        <v>2004</v>
      </c>
      <c r="AQ6" s="201" t="s">
        <v>2003</v>
      </c>
      <c r="AR6" s="201" t="s">
        <v>2002</v>
      </c>
      <c r="AS6" s="201" t="s">
        <v>2001</v>
      </c>
      <c r="AT6" s="201" t="s">
        <v>2000</v>
      </c>
      <c r="AU6" s="201" t="s">
        <v>1999</v>
      </c>
      <c r="AV6" s="201" t="s">
        <v>1998</v>
      </c>
      <c r="AW6" s="201" t="s">
        <v>1997</v>
      </c>
      <c r="AX6" s="201" t="s">
        <v>1996</v>
      </c>
      <c r="AY6" s="201" t="s">
        <v>1995</v>
      </c>
      <c r="AZ6" s="201" t="s">
        <v>1994</v>
      </c>
      <c r="BA6" s="201" t="s">
        <v>1993</v>
      </c>
      <c r="BB6" s="201" t="s">
        <v>1992</v>
      </c>
      <c r="BC6" s="201" t="s">
        <v>1991</v>
      </c>
      <c r="BD6" s="201" t="s">
        <v>1990</v>
      </c>
      <c r="BE6" s="201" t="s">
        <v>1989</v>
      </c>
      <c r="BF6" s="201" t="s">
        <v>1988</v>
      </c>
      <c r="BG6" s="201" t="s">
        <v>1987</v>
      </c>
      <c r="BH6" s="201" t="s">
        <v>1986</v>
      </c>
      <c r="BI6" s="201" t="s">
        <v>1985</v>
      </c>
      <c r="BJ6" s="201" t="s">
        <v>1984</v>
      </c>
      <c r="BK6" s="201" t="s">
        <v>1983</v>
      </c>
      <c r="BL6" s="201" t="s">
        <v>1982</v>
      </c>
      <c r="BM6" s="201" t="s">
        <v>1981</v>
      </c>
      <c r="BN6" s="201" t="s">
        <v>1980</v>
      </c>
      <c r="BO6" s="201" t="s">
        <v>1979</v>
      </c>
      <c r="BP6" s="201" t="s">
        <v>1978</v>
      </c>
      <c r="BQ6" s="201" t="s">
        <v>1977</v>
      </c>
      <c r="BR6" s="201" t="s">
        <v>1976</v>
      </c>
      <c r="BS6" s="201" t="s">
        <v>1975</v>
      </c>
      <c r="BT6" s="201" t="s">
        <v>1974</v>
      </c>
      <c r="BU6" s="201" t="s">
        <v>1973</v>
      </c>
      <c r="BV6" s="201" t="s">
        <v>1972</v>
      </c>
      <c r="BW6" s="201" t="s">
        <v>1971</v>
      </c>
      <c r="BX6" s="201" t="s">
        <v>1970</v>
      </c>
      <c r="BY6" s="201" t="s">
        <v>1969</v>
      </c>
      <c r="BZ6" s="201" t="s">
        <v>1968</v>
      </c>
      <c r="CA6" s="201" t="s">
        <v>1967</v>
      </c>
      <c r="CB6" s="201" t="s">
        <v>1966</v>
      </c>
      <c r="CC6" s="201" t="s">
        <v>1965</v>
      </c>
      <c r="CD6" s="201" t="s">
        <v>1964</v>
      </c>
      <c r="CE6" s="201" t="s">
        <v>1963</v>
      </c>
      <c r="CF6" s="201" t="s">
        <v>1962</v>
      </c>
      <c r="CG6" s="201" t="s">
        <v>1961</v>
      </c>
      <c r="CH6" s="201" t="s">
        <v>1960</v>
      </c>
      <c r="CI6" s="201" t="s">
        <v>1959</v>
      </c>
      <c r="CJ6" s="201" t="s">
        <v>1958</v>
      </c>
      <c r="CK6" s="201" t="s">
        <v>1957</v>
      </c>
      <c r="CL6" s="201" t="s">
        <v>1956</v>
      </c>
      <c r="CM6" s="201" t="s">
        <v>1955</v>
      </c>
    </row>
    <row r="7" spans="1:91">
      <c r="A7" s="202"/>
      <c r="B7" s="201" t="s">
        <v>1954</v>
      </c>
      <c r="C7" s="201" t="s">
        <v>249</v>
      </c>
      <c r="D7" s="201" t="s">
        <v>2327</v>
      </c>
      <c r="E7" s="201" t="s">
        <v>2357</v>
      </c>
      <c r="F7" s="201" t="s">
        <v>2387</v>
      </c>
      <c r="G7" s="201" t="s">
        <v>2417</v>
      </c>
      <c r="H7" s="201" t="s">
        <v>1953</v>
      </c>
      <c r="I7" s="201" t="s">
        <v>1952</v>
      </c>
      <c r="J7" s="201" t="s">
        <v>1951</v>
      </c>
      <c r="K7" s="201" t="s">
        <v>1950</v>
      </c>
      <c r="L7" s="201" t="s">
        <v>1949</v>
      </c>
      <c r="M7" s="201" t="s">
        <v>1948</v>
      </c>
      <c r="N7" s="201" t="s">
        <v>1947</v>
      </c>
      <c r="O7" s="201" t="s">
        <v>1946</v>
      </c>
      <c r="P7" s="201" t="s">
        <v>1945</v>
      </c>
      <c r="Q7" s="201" t="s">
        <v>1944</v>
      </c>
      <c r="R7" s="201" t="s">
        <v>1943</v>
      </c>
      <c r="S7" s="201" t="s">
        <v>1942</v>
      </c>
      <c r="T7" s="201" t="s">
        <v>1941</v>
      </c>
      <c r="U7" s="201" t="s">
        <v>1940</v>
      </c>
      <c r="V7" s="201" t="s">
        <v>1939</v>
      </c>
      <c r="W7" s="201" t="s">
        <v>1938</v>
      </c>
      <c r="X7" s="201" t="s">
        <v>1937</v>
      </c>
      <c r="Y7" s="201" t="s">
        <v>1936</v>
      </c>
      <c r="Z7" s="201" t="s">
        <v>1935</v>
      </c>
      <c r="AA7" s="201" t="s">
        <v>1934</v>
      </c>
      <c r="AB7" s="201" t="s">
        <v>1933</v>
      </c>
      <c r="AC7" s="201" t="s">
        <v>1932</v>
      </c>
      <c r="AD7" s="201" t="s">
        <v>1931</v>
      </c>
      <c r="AE7" s="201" t="s">
        <v>1930</v>
      </c>
      <c r="AF7" s="201" t="s">
        <v>1929</v>
      </c>
      <c r="AG7" s="201" t="s">
        <v>1928</v>
      </c>
      <c r="AH7" s="201" t="s">
        <v>1927</v>
      </c>
      <c r="AI7" s="201" t="s">
        <v>1926</v>
      </c>
      <c r="AJ7" s="201" t="s">
        <v>1925</v>
      </c>
      <c r="AK7" s="201" t="s">
        <v>1924</v>
      </c>
      <c r="AL7" s="201" t="s">
        <v>1923</v>
      </c>
      <c r="AM7" s="201" t="s">
        <v>1922</v>
      </c>
      <c r="AN7" s="201" t="s">
        <v>1921</v>
      </c>
      <c r="AO7" s="201" t="s">
        <v>1920</v>
      </c>
      <c r="AP7" s="201" t="s">
        <v>1919</v>
      </c>
      <c r="AQ7" s="201" t="s">
        <v>1918</v>
      </c>
      <c r="AR7" s="201" t="s">
        <v>1917</v>
      </c>
      <c r="AS7" s="201" t="s">
        <v>1916</v>
      </c>
      <c r="AT7" s="201" t="s">
        <v>1915</v>
      </c>
      <c r="AU7" s="201" t="s">
        <v>1914</v>
      </c>
      <c r="AV7" s="201" t="s">
        <v>1913</v>
      </c>
      <c r="AW7" s="201" t="s">
        <v>1912</v>
      </c>
      <c r="AX7" s="201" t="s">
        <v>1911</v>
      </c>
      <c r="AY7" s="201" t="s">
        <v>1910</v>
      </c>
      <c r="AZ7" s="201" t="s">
        <v>1909</v>
      </c>
      <c r="BA7" s="201" t="s">
        <v>1908</v>
      </c>
      <c r="BB7" s="201" t="s">
        <v>1907</v>
      </c>
      <c r="BC7" s="201" t="s">
        <v>1906</v>
      </c>
      <c r="BD7" s="201" t="s">
        <v>1905</v>
      </c>
      <c r="BE7" s="201" t="s">
        <v>1904</v>
      </c>
      <c r="BF7" s="201" t="s">
        <v>1903</v>
      </c>
      <c r="BG7" s="201" t="s">
        <v>1902</v>
      </c>
      <c r="BH7" s="201" t="s">
        <v>1901</v>
      </c>
      <c r="BI7" s="201" t="s">
        <v>1900</v>
      </c>
      <c r="BJ7" s="201" t="s">
        <v>1899</v>
      </c>
      <c r="BK7" s="201" t="s">
        <v>1898</v>
      </c>
      <c r="BL7" s="201" t="s">
        <v>1897</v>
      </c>
      <c r="BM7" s="201" t="s">
        <v>1896</v>
      </c>
      <c r="BN7" s="201" t="s">
        <v>1895</v>
      </c>
      <c r="BO7" s="201" t="s">
        <v>1894</v>
      </c>
      <c r="BP7" s="201" t="s">
        <v>1893</v>
      </c>
      <c r="BQ7" s="201" t="s">
        <v>1892</v>
      </c>
      <c r="BR7" s="201" t="s">
        <v>1891</v>
      </c>
      <c r="BS7" s="201" t="s">
        <v>1890</v>
      </c>
      <c r="BT7" s="201" t="s">
        <v>1889</v>
      </c>
      <c r="BU7" s="201" t="s">
        <v>1888</v>
      </c>
      <c r="BV7" s="201" t="s">
        <v>1887</v>
      </c>
      <c r="BW7" s="201" t="s">
        <v>1886</v>
      </c>
      <c r="BX7" s="201" t="s">
        <v>1885</v>
      </c>
      <c r="BY7" s="201" t="s">
        <v>1884</v>
      </c>
      <c r="BZ7" s="201" t="s">
        <v>1883</v>
      </c>
      <c r="CA7" s="201" t="s">
        <v>1882</v>
      </c>
      <c r="CB7" s="201" t="s">
        <v>1881</v>
      </c>
      <c r="CC7" s="201" t="s">
        <v>1880</v>
      </c>
      <c r="CD7" s="201" t="s">
        <v>1879</v>
      </c>
      <c r="CE7" s="201" t="s">
        <v>1878</v>
      </c>
      <c r="CF7" s="201" t="s">
        <v>1877</v>
      </c>
      <c r="CG7" s="201" t="s">
        <v>1876</v>
      </c>
      <c r="CH7" s="201" t="s">
        <v>1875</v>
      </c>
      <c r="CI7" s="201" t="s">
        <v>1874</v>
      </c>
      <c r="CJ7" s="201" t="s">
        <v>1873</v>
      </c>
      <c r="CK7" s="201" t="s">
        <v>1872</v>
      </c>
      <c r="CL7" s="201" t="s">
        <v>1871</v>
      </c>
      <c r="CM7" s="201" t="s">
        <v>1870</v>
      </c>
    </row>
    <row r="8" spans="1:91">
      <c r="A8" s="202"/>
      <c r="B8" s="201" t="s">
        <v>1869</v>
      </c>
      <c r="C8" s="201" t="s">
        <v>2298</v>
      </c>
      <c r="D8" s="201" t="s">
        <v>2328</v>
      </c>
      <c r="E8" s="201" t="s">
        <v>2358</v>
      </c>
      <c r="F8" s="201" t="s">
        <v>2388</v>
      </c>
      <c r="G8" s="201" t="s">
        <v>2418</v>
      </c>
      <c r="H8" s="201" t="s">
        <v>1868</v>
      </c>
      <c r="I8" s="201" t="s">
        <v>1867</v>
      </c>
      <c r="J8" s="201" t="s">
        <v>1866</v>
      </c>
      <c r="K8" s="201" t="s">
        <v>1865</v>
      </c>
      <c r="L8" s="201" t="s">
        <v>1864</v>
      </c>
      <c r="M8" s="201" t="s">
        <v>1863</v>
      </c>
      <c r="N8" s="201" t="s">
        <v>1862</v>
      </c>
      <c r="O8" s="201" t="s">
        <v>1861</v>
      </c>
      <c r="P8" s="201" t="s">
        <v>1860</v>
      </c>
      <c r="Q8" s="201" t="s">
        <v>1859</v>
      </c>
      <c r="R8" s="201" t="s">
        <v>1858</v>
      </c>
      <c r="S8" s="201" t="s">
        <v>1857</v>
      </c>
      <c r="T8" s="201" t="s">
        <v>1856</v>
      </c>
      <c r="U8" s="201" t="s">
        <v>1855</v>
      </c>
      <c r="V8" s="201" t="s">
        <v>1854</v>
      </c>
      <c r="W8" s="201" t="s">
        <v>1853</v>
      </c>
      <c r="X8" s="201" t="s">
        <v>1852</v>
      </c>
      <c r="Y8" s="201" t="s">
        <v>1851</v>
      </c>
      <c r="Z8" s="201" t="s">
        <v>1850</v>
      </c>
      <c r="AA8" s="201" t="s">
        <v>1849</v>
      </c>
      <c r="AB8" s="201" t="s">
        <v>1848</v>
      </c>
      <c r="AC8" s="201" t="s">
        <v>1847</v>
      </c>
      <c r="AD8" s="201" t="s">
        <v>1846</v>
      </c>
      <c r="AE8" s="201" t="s">
        <v>1845</v>
      </c>
      <c r="AF8" s="201" t="s">
        <v>1844</v>
      </c>
      <c r="AG8" s="201" t="s">
        <v>1843</v>
      </c>
      <c r="AH8" s="201" t="s">
        <v>1842</v>
      </c>
      <c r="AI8" s="201" t="s">
        <v>1841</v>
      </c>
      <c r="AJ8" s="201" t="s">
        <v>1840</v>
      </c>
      <c r="AK8" s="201" t="s">
        <v>1839</v>
      </c>
      <c r="AL8" s="201" t="s">
        <v>1838</v>
      </c>
      <c r="AM8" s="201" t="s">
        <v>1837</v>
      </c>
      <c r="AN8" s="201" t="s">
        <v>1836</v>
      </c>
      <c r="AO8" s="201" t="s">
        <v>1835</v>
      </c>
      <c r="AP8" s="201" t="s">
        <v>1834</v>
      </c>
      <c r="AQ8" s="201" t="s">
        <v>1833</v>
      </c>
      <c r="AR8" s="201" t="s">
        <v>1832</v>
      </c>
      <c r="AS8" s="201" t="s">
        <v>1831</v>
      </c>
      <c r="AT8" s="201" t="s">
        <v>1830</v>
      </c>
      <c r="AU8" s="201" t="s">
        <v>1829</v>
      </c>
      <c r="AV8" s="201" t="s">
        <v>1828</v>
      </c>
      <c r="AW8" s="201" t="s">
        <v>1827</v>
      </c>
      <c r="AX8" s="201" t="s">
        <v>1826</v>
      </c>
      <c r="AY8" s="201" t="s">
        <v>1825</v>
      </c>
      <c r="AZ8" s="201" t="s">
        <v>1824</v>
      </c>
      <c r="BA8" s="201" t="s">
        <v>1823</v>
      </c>
      <c r="BB8" s="201" t="s">
        <v>1822</v>
      </c>
      <c r="BC8" s="201" t="s">
        <v>1821</v>
      </c>
      <c r="BD8" s="201" t="s">
        <v>1820</v>
      </c>
      <c r="BE8" s="201" t="s">
        <v>1819</v>
      </c>
      <c r="BF8" s="201" t="s">
        <v>1818</v>
      </c>
      <c r="BG8" s="201" t="s">
        <v>1817</v>
      </c>
      <c r="BH8" s="201" t="s">
        <v>1816</v>
      </c>
      <c r="BI8" s="201" t="s">
        <v>1815</v>
      </c>
      <c r="BJ8" s="201" t="s">
        <v>1814</v>
      </c>
      <c r="BK8" s="201" t="s">
        <v>1813</v>
      </c>
      <c r="BL8" s="201" t="s">
        <v>1812</v>
      </c>
      <c r="BM8" s="201" t="s">
        <v>1811</v>
      </c>
      <c r="BN8" s="201" t="s">
        <v>1810</v>
      </c>
      <c r="BO8" s="201" t="s">
        <v>1809</v>
      </c>
      <c r="BP8" s="201" t="s">
        <v>1808</v>
      </c>
      <c r="BQ8" s="201" t="s">
        <v>1807</v>
      </c>
      <c r="BR8" s="201" t="s">
        <v>1806</v>
      </c>
      <c r="BS8" s="201" t="s">
        <v>1805</v>
      </c>
      <c r="BT8" s="201" t="s">
        <v>1804</v>
      </c>
      <c r="BU8" s="201" t="s">
        <v>1803</v>
      </c>
      <c r="BV8" s="201" t="s">
        <v>1802</v>
      </c>
      <c r="BW8" s="201" t="s">
        <v>1801</v>
      </c>
      <c r="BX8" s="201" t="s">
        <v>1800</v>
      </c>
      <c r="BY8" s="201" t="s">
        <v>1799</v>
      </c>
      <c r="BZ8" s="201" t="s">
        <v>1798</v>
      </c>
      <c r="CA8" s="201" t="s">
        <v>1797</v>
      </c>
      <c r="CB8" s="201" t="s">
        <v>1796</v>
      </c>
      <c r="CC8" s="201" t="s">
        <v>1795</v>
      </c>
      <c r="CD8" s="201" t="s">
        <v>1794</v>
      </c>
      <c r="CE8" s="201" t="s">
        <v>1793</v>
      </c>
      <c r="CF8" s="201" t="s">
        <v>1792</v>
      </c>
      <c r="CG8" s="201" t="s">
        <v>1791</v>
      </c>
      <c r="CH8" s="201" t="s">
        <v>1790</v>
      </c>
      <c r="CI8" s="201" t="s">
        <v>1789</v>
      </c>
      <c r="CJ8" s="201" t="s">
        <v>1788</v>
      </c>
      <c r="CK8" s="201" t="s">
        <v>1787</v>
      </c>
      <c r="CL8" s="201" t="s">
        <v>1786</v>
      </c>
      <c r="CM8" s="201" t="s">
        <v>1785</v>
      </c>
    </row>
    <row r="9" spans="1:91">
      <c r="A9" s="202"/>
      <c r="B9" s="201" t="s">
        <v>1784</v>
      </c>
      <c r="C9" s="201" t="s">
        <v>2299</v>
      </c>
      <c r="D9" s="201" t="s">
        <v>2329</v>
      </c>
      <c r="E9" s="201" t="s">
        <v>2359</v>
      </c>
      <c r="F9" s="201" t="s">
        <v>2389</v>
      </c>
      <c r="G9" s="201" t="s">
        <v>2419</v>
      </c>
      <c r="H9" s="201" t="s">
        <v>1783</v>
      </c>
      <c r="I9" s="201" t="s">
        <v>1782</v>
      </c>
      <c r="J9" s="201" t="s">
        <v>1781</v>
      </c>
      <c r="K9" s="201" t="s">
        <v>1780</v>
      </c>
      <c r="L9" s="201" t="s">
        <v>1779</v>
      </c>
      <c r="M9" s="201" t="s">
        <v>1778</v>
      </c>
      <c r="N9" s="201" t="s">
        <v>1777</v>
      </c>
      <c r="O9" s="201" t="s">
        <v>1776</v>
      </c>
      <c r="P9" s="201" t="s">
        <v>1775</v>
      </c>
      <c r="Q9" s="201" t="s">
        <v>1774</v>
      </c>
      <c r="R9" s="201" t="s">
        <v>1773</v>
      </c>
      <c r="S9" s="201" t="s">
        <v>1772</v>
      </c>
      <c r="T9" s="201" t="s">
        <v>1771</v>
      </c>
      <c r="U9" s="201" t="s">
        <v>1770</v>
      </c>
      <c r="V9" s="201" t="s">
        <v>1769</v>
      </c>
      <c r="W9" s="201" t="s">
        <v>1768</v>
      </c>
      <c r="X9" s="201" t="s">
        <v>1767</v>
      </c>
      <c r="Y9" s="201" t="s">
        <v>1766</v>
      </c>
      <c r="Z9" s="201" t="s">
        <v>1765</v>
      </c>
      <c r="AA9" s="201" t="s">
        <v>1764</v>
      </c>
      <c r="AB9" s="201" t="s">
        <v>1763</v>
      </c>
      <c r="AC9" s="201" t="s">
        <v>1762</v>
      </c>
      <c r="AD9" s="201" t="s">
        <v>1761</v>
      </c>
      <c r="AE9" s="201" t="s">
        <v>1760</v>
      </c>
      <c r="AF9" s="201" t="s">
        <v>1759</v>
      </c>
      <c r="AG9" s="201" t="s">
        <v>1758</v>
      </c>
      <c r="AH9" s="201" t="s">
        <v>1757</v>
      </c>
      <c r="AI9" s="201" t="s">
        <v>1756</v>
      </c>
      <c r="AJ9" s="201" t="s">
        <v>1755</v>
      </c>
      <c r="AK9" s="201" t="s">
        <v>1754</v>
      </c>
      <c r="AL9" s="201" t="s">
        <v>1753</v>
      </c>
      <c r="AM9" s="201" t="s">
        <v>1752</v>
      </c>
      <c r="AN9" s="201" t="s">
        <v>1751</v>
      </c>
      <c r="AO9" s="201" t="s">
        <v>1750</v>
      </c>
      <c r="AP9" s="201" t="s">
        <v>1749</v>
      </c>
      <c r="AQ9" s="201" t="s">
        <v>1748</v>
      </c>
      <c r="AR9" s="201" t="s">
        <v>1747</v>
      </c>
      <c r="AS9" s="201" t="s">
        <v>1746</v>
      </c>
      <c r="AT9" s="201" t="s">
        <v>1745</v>
      </c>
      <c r="AU9" s="201" t="s">
        <v>1744</v>
      </c>
      <c r="AV9" s="201" t="s">
        <v>1743</v>
      </c>
      <c r="AW9" s="201" t="s">
        <v>1742</v>
      </c>
      <c r="AX9" s="201" t="s">
        <v>1741</v>
      </c>
      <c r="AY9" s="201" t="s">
        <v>1740</v>
      </c>
      <c r="AZ9" s="201" t="s">
        <v>1739</v>
      </c>
      <c r="BA9" s="201" t="s">
        <v>1738</v>
      </c>
      <c r="BB9" s="201" t="s">
        <v>1737</v>
      </c>
      <c r="BC9" s="201" t="s">
        <v>1736</v>
      </c>
      <c r="BD9" s="201" t="s">
        <v>1735</v>
      </c>
      <c r="BE9" s="201" t="s">
        <v>1734</v>
      </c>
      <c r="BF9" s="201" t="s">
        <v>1733</v>
      </c>
      <c r="BG9" s="201" t="s">
        <v>1732</v>
      </c>
      <c r="BH9" s="201" t="s">
        <v>1731</v>
      </c>
      <c r="BI9" s="201" t="s">
        <v>1730</v>
      </c>
      <c r="BJ9" s="201" t="s">
        <v>1729</v>
      </c>
      <c r="BK9" s="201" t="s">
        <v>1728</v>
      </c>
      <c r="BL9" s="201" t="s">
        <v>1727</v>
      </c>
      <c r="BM9" s="201" t="s">
        <v>1726</v>
      </c>
      <c r="BN9" s="201" t="s">
        <v>1725</v>
      </c>
      <c r="BO9" s="201" t="s">
        <v>1724</v>
      </c>
      <c r="BP9" s="201" t="s">
        <v>1723</v>
      </c>
      <c r="BQ9" s="201" t="s">
        <v>1722</v>
      </c>
      <c r="BR9" s="201" t="s">
        <v>1721</v>
      </c>
      <c r="BS9" s="201" t="s">
        <v>1720</v>
      </c>
      <c r="BT9" s="201" t="s">
        <v>1719</v>
      </c>
      <c r="BU9" s="201" t="s">
        <v>1718</v>
      </c>
      <c r="BV9" s="201" t="s">
        <v>1717</v>
      </c>
      <c r="BW9" s="201" t="s">
        <v>1716</v>
      </c>
      <c r="BX9" s="201" t="s">
        <v>1715</v>
      </c>
      <c r="BY9" s="201" t="s">
        <v>1714</v>
      </c>
      <c r="BZ9" s="201" t="s">
        <v>1713</v>
      </c>
      <c r="CA9" s="201" t="s">
        <v>1712</v>
      </c>
      <c r="CB9" s="201" t="s">
        <v>1711</v>
      </c>
      <c r="CC9" s="201" t="s">
        <v>1710</v>
      </c>
      <c r="CD9" s="201" t="s">
        <v>1709</v>
      </c>
      <c r="CE9" s="201" t="s">
        <v>1708</v>
      </c>
      <c r="CF9" s="201" t="s">
        <v>1707</v>
      </c>
      <c r="CG9" s="201" t="s">
        <v>1706</v>
      </c>
      <c r="CH9" s="201" t="s">
        <v>1705</v>
      </c>
      <c r="CI9" s="201" t="s">
        <v>1704</v>
      </c>
      <c r="CJ9" s="201" t="s">
        <v>1703</v>
      </c>
      <c r="CK9" s="201" t="s">
        <v>1702</v>
      </c>
      <c r="CL9" s="201" t="s">
        <v>1701</v>
      </c>
      <c r="CM9" s="201" t="s">
        <v>1700</v>
      </c>
    </row>
    <row r="10" spans="1:91">
      <c r="A10" s="202"/>
      <c r="B10" s="201" t="s">
        <v>1699</v>
      </c>
      <c r="C10" s="201" t="s">
        <v>2300</v>
      </c>
      <c r="D10" s="201" t="s">
        <v>2330</v>
      </c>
      <c r="E10" s="201" t="s">
        <v>2360</v>
      </c>
      <c r="F10" s="201" t="s">
        <v>2390</v>
      </c>
      <c r="G10" s="201" t="s">
        <v>2420</v>
      </c>
      <c r="H10" s="201" t="s">
        <v>1698</v>
      </c>
      <c r="I10" s="201" t="s">
        <v>1697</v>
      </c>
      <c r="J10" s="201" t="s">
        <v>1696</v>
      </c>
      <c r="K10" s="201" t="s">
        <v>1695</v>
      </c>
      <c r="L10" s="201" t="s">
        <v>1694</v>
      </c>
      <c r="M10" s="201" t="s">
        <v>1693</v>
      </c>
      <c r="N10" s="201" t="s">
        <v>1692</v>
      </c>
      <c r="O10" s="201" t="s">
        <v>1691</v>
      </c>
      <c r="P10" s="201" t="s">
        <v>1690</v>
      </c>
      <c r="Q10" s="201" t="s">
        <v>1689</v>
      </c>
      <c r="R10" s="201" t="s">
        <v>1688</v>
      </c>
      <c r="S10" s="201" t="s">
        <v>1687</v>
      </c>
      <c r="T10" s="201" t="s">
        <v>1686</v>
      </c>
      <c r="U10" s="201" t="s">
        <v>1685</v>
      </c>
      <c r="V10" s="201" t="s">
        <v>1684</v>
      </c>
      <c r="W10" s="201" t="s">
        <v>1683</v>
      </c>
      <c r="X10" s="201" t="s">
        <v>1682</v>
      </c>
      <c r="Y10" s="201" t="s">
        <v>1681</v>
      </c>
      <c r="Z10" s="201" t="s">
        <v>1680</v>
      </c>
      <c r="AA10" s="201" t="s">
        <v>1679</v>
      </c>
      <c r="AB10" s="201" t="s">
        <v>1678</v>
      </c>
      <c r="AC10" s="201" t="s">
        <v>1677</v>
      </c>
      <c r="AD10" s="201" t="s">
        <v>1676</v>
      </c>
      <c r="AE10" s="201" t="s">
        <v>1675</v>
      </c>
      <c r="AF10" s="201" t="s">
        <v>1674</v>
      </c>
      <c r="AG10" s="201" t="s">
        <v>1673</v>
      </c>
      <c r="AH10" s="201" t="s">
        <v>1672</v>
      </c>
      <c r="AI10" s="201" t="s">
        <v>1671</v>
      </c>
      <c r="AJ10" s="201" t="s">
        <v>1670</v>
      </c>
      <c r="AK10" s="201" t="s">
        <v>1669</v>
      </c>
      <c r="AL10" s="201" t="s">
        <v>1668</v>
      </c>
      <c r="AM10" s="201" t="s">
        <v>1667</v>
      </c>
      <c r="AN10" s="201" t="s">
        <v>1666</v>
      </c>
      <c r="AO10" s="201" t="s">
        <v>1665</v>
      </c>
      <c r="AP10" s="201" t="s">
        <v>1664</v>
      </c>
      <c r="AQ10" s="201" t="s">
        <v>1663</v>
      </c>
      <c r="AR10" s="201" t="s">
        <v>1662</v>
      </c>
      <c r="AS10" s="201" t="s">
        <v>1661</v>
      </c>
      <c r="AT10" s="201" t="s">
        <v>1660</v>
      </c>
      <c r="AU10" s="201" t="s">
        <v>1659</v>
      </c>
      <c r="AV10" s="201" t="s">
        <v>1658</v>
      </c>
      <c r="AW10" s="201" t="s">
        <v>1657</v>
      </c>
      <c r="AX10" s="201" t="s">
        <v>1656</v>
      </c>
      <c r="AY10" s="201" t="s">
        <v>1655</v>
      </c>
      <c r="AZ10" s="201" t="s">
        <v>1654</v>
      </c>
      <c r="BA10" s="201" t="s">
        <v>1653</v>
      </c>
      <c r="BB10" s="201" t="s">
        <v>1652</v>
      </c>
      <c r="BC10" s="201" t="s">
        <v>1651</v>
      </c>
      <c r="BD10" s="201" t="s">
        <v>1650</v>
      </c>
      <c r="BE10" s="201" t="s">
        <v>1649</v>
      </c>
      <c r="BF10" s="201" t="s">
        <v>1648</v>
      </c>
      <c r="BG10" s="201" t="s">
        <v>1647</v>
      </c>
      <c r="BH10" s="201" t="s">
        <v>1646</v>
      </c>
      <c r="BI10" s="201" t="s">
        <v>1645</v>
      </c>
      <c r="BJ10" s="201" t="s">
        <v>1644</v>
      </c>
      <c r="BK10" s="201" t="s">
        <v>1643</v>
      </c>
      <c r="BL10" s="201" t="s">
        <v>1642</v>
      </c>
      <c r="BM10" s="201" t="s">
        <v>1641</v>
      </c>
      <c r="BN10" s="201" t="s">
        <v>1640</v>
      </c>
      <c r="BO10" s="201" t="s">
        <v>1639</v>
      </c>
      <c r="BP10" s="201" t="s">
        <v>1638</v>
      </c>
      <c r="BQ10" s="201" t="s">
        <v>1637</v>
      </c>
      <c r="BR10" s="201" t="s">
        <v>1636</v>
      </c>
      <c r="BS10" s="201" t="s">
        <v>1635</v>
      </c>
      <c r="BT10" s="201" t="s">
        <v>1634</v>
      </c>
      <c r="BU10" s="201" t="s">
        <v>1633</v>
      </c>
      <c r="BV10" s="201" t="s">
        <v>1632</v>
      </c>
      <c r="BW10" s="201" t="s">
        <v>1631</v>
      </c>
      <c r="BX10" s="201" t="s">
        <v>1630</v>
      </c>
      <c r="BY10" s="201" t="s">
        <v>1629</v>
      </c>
      <c r="BZ10" s="201" t="s">
        <v>1628</v>
      </c>
      <c r="CA10" s="201" t="s">
        <v>1627</v>
      </c>
      <c r="CB10" s="201" t="s">
        <v>1626</v>
      </c>
      <c r="CC10" s="201" t="s">
        <v>1625</v>
      </c>
      <c r="CD10" s="201" t="s">
        <v>1624</v>
      </c>
      <c r="CE10" s="201" t="s">
        <v>1623</v>
      </c>
      <c r="CF10" s="201" t="s">
        <v>1622</v>
      </c>
      <c r="CG10" s="201" t="s">
        <v>1621</v>
      </c>
      <c r="CH10" s="201" t="s">
        <v>1620</v>
      </c>
      <c r="CI10" s="201" t="s">
        <v>1619</v>
      </c>
      <c r="CJ10" s="201" t="s">
        <v>1618</v>
      </c>
      <c r="CK10" s="201" t="s">
        <v>1617</v>
      </c>
      <c r="CL10" s="201" t="s">
        <v>1616</v>
      </c>
      <c r="CM10" s="201" t="s">
        <v>1615</v>
      </c>
    </row>
    <row r="11" spans="1:91">
      <c r="A11" s="202"/>
      <c r="B11" s="201" t="s">
        <v>1614</v>
      </c>
      <c r="C11" s="201" t="s">
        <v>2301</v>
      </c>
      <c r="D11" s="201" t="s">
        <v>2331</v>
      </c>
      <c r="E11" s="201" t="s">
        <v>2361</v>
      </c>
      <c r="F11" s="201" t="s">
        <v>2391</v>
      </c>
      <c r="G11" s="201" t="s">
        <v>2421</v>
      </c>
      <c r="H11" s="201" t="s">
        <v>1613</v>
      </c>
      <c r="I11" s="201" t="s">
        <v>1612</v>
      </c>
      <c r="J11" s="201" t="s">
        <v>1611</v>
      </c>
      <c r="K11" s="201" t="s">
        <v>1610</v>
      </c>
      <c r="L11" s="201" t="s">
        <v>1609</v>
      </c>
      <c r="M11" s="201" t="s">
        <v>1608</v>
      </c>
      <c r="N11" s="201" t="s">
        <v>1607</v>
      </c>
      <c r="O11" s="201" t="s">
        <v>1606</v>
      </c>
      <c r="P11" s="201" t="s">
        <v>1605</v>
      </c>
      <c r="Q11" s="201" t="s">
        <v>1604</v>
      </c>
      <c r="R11" s="201" t="s">
        <v>1603</v>
      </c>
      <c r="S11" s="201" t="s">
        <v>1602</v>
      </c>
      <c r="T11" s="201" t="s">
        <v>1601</v>
      </c>
      <c r="U11" s="201" t="s">
        <v>1600</v>
      </c>
      <c r="V11" s="201" t="s">
        <v>1599</v>
      </c>
      <c r="W11" s="201" t="s">
        <v>1598</v>
      </c>
      <c r="X11" s="201" t="s">
        <v>1597</v>
      </c>
      <c r="Y11" s="201" t="s">
        <v>1596</v>
      </c>
      <c r="Z11" s="201" t="s">
        <v>1595</v>
      </c>
      <c r="AA11" s="201" t="s">
        <v>1594</v>
      </c>
      <c r="AB11" s="201" t="s">
        <v>1593</v>
      </c>
      <c r="AC11" s="201" t="s">
        <v>1592</v>
      </c>
      <c r="AD11" s="201" t="s">
        <v>1591</v>
      </c>
      <c r="AE11" s="201" t="s">
        <v>1590</v>
      </c>
      <c r="AF11" s="201" t="s">
        <v>1589</v>
      </c>
      <c r="AG11" s="201" t="s">
        <v>1588</v>
      </c>
      <c r="AH11" s="201" t="s">
        <v>1587</v>
      </c>
      <c r="AI11" s="201" t="s">
        <v>1586</v>
      </c>
      <c r="AJ11" s="201" t="s">
        <v>1585</v>
      </c>
      <c r="AK11" s="201" t="s">
        <v>1584</v>
      </c>
      <c r="AL11" s="201" t="s">
        <v>1583</v>
      </c>
      <c r="AM11" s="201" t="s">
        <v>1582</v>
      </c>
      <c r="AN11" s="201" t="s">
        <v>1581</v>
      </c>
      <c r="AO11" s="201" t="s">
        <v>1580</v>
      </c>
      <c r="AP11" s="201" t="s">
        <v>1579</v>
      </c>
      <c r="AQ11" s="201" t="s">
        <v>1578</v>
      </c>
      <c r="AR11" s="201" t="s">
        <v>1577</v>
      </c>
      <c r="AS11" s="201" t="s">
        <v>1576</v>
      </c>
      <c r="AT11" s="201" t="s">
        <v>1575</v>
      </c>
      <c r="AU11" s="201" t="s">
        <v>1574</v>
      </c>
      <c r="AV11" s="201" t="s">
        <v>1573</v>
      </c>
      <c r="AW11" s="201" t="s">
        <v>1572</v>
      </c>
      <c r="AX11" s="201" t="s">
        <v>1571</v>
      </c>
      <c r="AY11" s="201" t="s">
        <v>1570</v>
      </c>
      <c r="AZ11" s="201" t="s">
        <v>1569</v>
      </c>
      <c r="BA11" s="201" t="s">
        <v>1568</v>
      </c>
      <c r="BB11" s="201" t="s">
        <v>1567</v>
      </c>
      <c r="BC11" s="201" t="s">
        <v>1566</v>
      </c>
      <c r="BD11" s="201" t="s">
        <v>1565</v>
      </c>
      <c r="BE11" s="201" t="s">
        <v>1564</v>
      </c>
      <c r="BF11" s="201" t="s">
        <v>1563</v>
      </c>
      <c r="BG11" s="201" t="s">
        <v>1562</v>
      </c>
      <c r="BH11" s="201" t="s">
        <v>1561</v>
      </c>
      <c r="BI11" s="201" t="s">
        <v>1560</v>
      </c>
      <c r="BJ11" s="201" t="s">
        <v>1559</v>
      </c>
      <c r="BK11" s="201" t="s">
        <v>1558</v>
      </c>
      <c r="BL11" s="201" t="s">
        <v>1557</v>
      </c>
      <c r="BM11" s="201" t="s">
        <v>1556</v>
      </c>
      <c r="BN11" s="201" t="s">
        <v>1555</v>
      </c>
      <c r="BO11" s="201" t="s">
        <v>1554</v>
      </c>
      <c r="BP11" s="201" t="s">
        <v>1553</v>
      </c>
      <c r="BQ11" s="201" t="s">
        <v>1552</v>
      </c>
      <c r="BR11" s="201" t="s">
        <v>1551</v>
      </c>
      <c r="BS11" s="201" t="s">
        <v>1550</v>
      </c>
      <c r="BT11" s="201" t="s">
        <v>1549</v>
      </c>
      <c r="BU11" s="201" t="s">
        <v>1548</v>
      </c>
      <c r="BV11" s="201" t="s">
        <v>1547</v>
      </c>
      <c r="BW11" s="201" t="s">
        <v>1546</v>
      </c>
      <c r="BX11" s="201" t="s">
        <v>1545</v>
      </c>
      <c r="BY11" s="201" t="s">
        <v>1544</v>
      </c>
      <c r="BZ11" s="201" t="s">
        <v>1543</v>
      </c>
      <c r="CA11" s="201" t="s">
        <v>1542</v>
      </c>
      <c r="CB11" s="201" t="s">
        <v>1541</v>
      </c>
      <c r="CC11" s="201" t="s">
        <v>1540</v>
      </c>
      <c r="CD11" s="201" t="s">
        <v>1539</v>
      </c>
      <c r="CE11" s="201" t="s">
        <v>1538</v>
      </c>
      <c r="CF11" s="201" t="s">
        <v>1537</v>
      </c>
      <c r="CG11" s="201" t="s">
        <v>1536</v>
      </c>
      <c r="CH11" s="201" t="s">
        <v>1535</v>
      </c>
      <c r="CI11" s="201" t="s">
        <v>1534</v>
      </c>
      <c r="CJ11" s="201" t="s">
        <v>1533</v>
      </c>
      <c r="CK11" s="201" t="s">
        <v>1532</v>
      </c>
      <c r="CL11" s="201" t="s">
        <v>1531</v>
      </c>
      <c r="CM11" s="201" t="s">
        <v>1530</v>
      </c>
    </row>
    <row r="12" spans="1:91">
      <c r="A12" s="202"/>
      <c r="B12" s="201" t="s">
        <v>1529</v>
      </c>
      <c r="C12" s="201" t="s">
        <v>2302</v>
      </c>
      <c r="D12" s="201" t="s">
        <v>2332</v>
      </c>
      <c r="E12" s="201" t="s">
        <v>2362</v>
      </c>
      <c r="F12" s="201" t="s">
        <v>2392</v>
      </c>
      <c r="G12" s="201" t="s">
        <v>2422</v>
      </c>
      <c r="H12" s="201" t="s">
        <v>1528</v>
      </c>
      <c r="I12" s="201" t="s">
        <v>1527</v>
      </c>
      <c r="J12" s="201" t="s">
        <v>1526</v>
      </c>
      <c r="K12" s="201" t="s">
        <v>1525</v>
      </c>
      <c r="L12" s="201" t="s">
        <v>1524</v>
      </c>
      <c r="M12" s="201" t="s">
        <v>1523</v>
      </c>
      <c r="N12" s="201" t="s">
        <v>1522</v>
      </c>
      <c r="O12" s="201" t="s">
        <v>1521</v>
      </c>
      <c r="P12" s="201" t="s">
        <v>1520</v>
      </c>
      <c r="Q12" s="201" t="s">
        <v>1519</v>
      </c>
      <c r="R12" s="201" t="s">
        <v>1518</v>
      </c>
      <c r="S12" s="201" t="s">
        <v>1517</v>
      </c>
      <c r="T12" s="201" t="s">
        <v>1516</v>
      </c>
      <c r="U12" s="201" t="s">
        <v>1515</v>
      </c>
      <c r="V12" s="201" t="s">
        <v>1514</v>
      </c>
      <c r="W12" s="201" t="s">
        <v>1513</v>
      </c>
      <c r="X12" s="201" t="s">
        <v>1512</v>
      </c>
      <c r="Y12" s="201" t="s">
        <v>1511</v>
      </c>
      <c r="Z12" s="201" t="s">
        <v>1510</v>
      </c>
      <c r="AA12" s="201" t="s">
        <v>1509</v>
      </c>
      <c r="AB12" s="201" t="s">
        <v>1508</v>
      </c>
      <c r="AC12" s="201" t="s">
        <v>1507</v>
      </c>
      <c r="AD12" s="201" t="s">
        <v>1506</v>
      </c>
      <c r="AE12" s="201" t="s">
        <v>1505</v>
      </c>
      <c r="AF12" s="201" t="s">
        <v>1504</v>
      </c>
      <c r="AG12" s="201" t="s">
        <v>1503</v>
      </c>
      <c r="AH12" s="201" t="s">
        <v>1502</v>
      </c>
      <c r="AI12" s="201" t="s">
        <v>1501</v>
      </c>
      <c r="AJ12" s="201" t="s">
        <v>1500</v>
      </c>
      <c r="AK12" s="201" t="s">
        <v>1499</v>
      </c>
      <c r="AL12" s="201" t="s">
        <v>1498</v>
      </c>
      <c r="AM12" s="201" t="s">
        <v>1497</v>
      </c>
      <c r="AN12" s="201" t="s">
        <v>1496</v>
      </c>
      <c r="AO12" s="201" t="s">
        <v>1495</v>
      </c>
      <c r="AP12" s="201" t="s">
        <v>1494</v>
      </c>
      <c r="AQ12" s="201" t="s">
        <v>1493</v>
      </c>
      <c r="AR12" s="201" t="s">
        <v>1492</v>
      </c>
      <c r="AS12" s="201" t="s">
        <v>1491</v>
      </c>
      <c r="AT12" s="201" t="s">
        <v>1490</v>
      </c>
      <c r="AU12" s="201" t="s">
        <v>1489</v>
      </c>
      <c r="AV12" s="201" t="s">
        <v>1488</v>
      </c>
      <c r="AW12" s="201" t="s">
        <v>1487</v>
      </c>
      <c r="AX12" s="201" t="s">
        <v>1486</v>
      </c>
      <c r="AY12" s="201" t="s">
        <v>1485</v>
      </c>
      <c r="AZ12" s="201" t="s">
        <v>1484</v>
      </c>
      <c r="BA12" s="201" t="s">
        <v>1483</v>
      </c>
      <c r="BB12" s="201" t="s">
        <v>1482</v>
      </c>
      <c r="BC12" s="201" t="s">
        <v>1481</v>
      </c>
      <c r="BD12" s="201" t="s">
        <v>1480</v>
      </c>
      <c r="BE12" s="201" t="s">
        <v>1479</v>
      </c>
      <c r="BF12" s="201" t="s">
        <v>1478</v>
      </c>
      <c r="BG12" s="201" t="s">
        <v>1477</v>
      </c>
      <c r="BH12" s="201" t="s">
        <v>1476</v>
      </c>
      <c r="BI12" s="201" t="s">
        <v>1475</v>
      </c>
      <c r="BJ12" s="201" t="s">
        <v>1474</v>
      </c>
      <c r="BK12" s="201" t="s">
        <v>1473</v>
      </c>
      <c r="BL12" s="201" t="s">
        <v>1472</v>
      </c>
      <c r="BM12" s="201" t="s">
        <v>1471</v>
      </c>
      <c r="BN12" s="201" t="s">
        <v>1470</v>
      </c>
      <c r="BO12" s="201" t="s">
        <v>1469</v>
      </c>
      <c r="BP12" s="201" t="s">
        <v>1468</v>
      </c>
      <c r="BQ12" s="201" t="s">
        <v>1467</v>
      </c>
      <c r="BR12" s="201" t="s">
        <v>1466</v>
      </c>
      <c r="BS12" s="201" t="s">
        <v>1465</v>
      </c>
      <c r="BT12" s="201" t="s">
        <v>1464</v>
      </c>
      <c r="BU12" s="201" t="s">
        <v>1463</v>
      </c>
      <c r="BV12" s="201" t="s">
        <v>1462</v>
      </c>
      <c r="BW12" s="201" t="s">
        <v>1461</v>
      </c>
      <c r="BX12" s="201" t="s">
        <v>1460</v>
      </c>
      <c r="BY12" s="201" t="s">
        <v>1459</v>
      </c>
      <c r="BZ12" s="201" t="s">
        <v>1458</v>
      </c>
      <c r="CA12" s="201" t="s">
        <v>1457</v>
      </c>
      <c r="CB12" s="201" t="s">
        <v>1456</v>
      </c>
      <c r="CC12" s="201" t="s">
        <v>1455</v>
      </c>
      <c r="CD12" s="201" t="s">
        <v>1454</v>
      </c>
      <c r="CE12" s="201" t="s">
        <v>1453</v>
      </c>
      <c r="CF12" s="201" t="s">
        <v>1452</v>
      </c>
      <c r="CG12" s="201" t="s">
        <v>1451</v>
      </c>
      <c r="CH12" s="201" t="s">
        <v>1450</v>
      </c>
      <c r="CI12" s="201" t="s">
        <v>1449</v>
      </c>
      <c r="CJ12" s="201" t="s">
        <v>1448</v>
      </c>
      <c r="CK12" s="201" t="s">
        <v>1447</v>
      </c>
      <c r="CL12" s="201" t="s">
        <v>1446</v>
      </c>
      <c r="CM12" s="201" t="s">
        <v>1445</v>
      </c>
    </row>
    <row r="13" spans="1:91">
      <c r="A13" s="202"/>
      <c r="B13" s="201" t="s">
        <v>1444</v>
      </c>
      <c r="C13" s="201" t="s">
        <v>2303</v>
      </c>
      <c r="D13" s="201" t="s">
        <v>2333</v>
      </c>
      <c r="E13" s="201" t="s">
        <v>2363</v>
      </c>
      <c r="F13" s="201" t="s">
        <v>2393</v>
      </c>
      <c r="G13" s="201" t="s">
        <v>2423</v>
      </c>
      <c r="H13" s="201" t="s">
        <v>1443</v>
      </c>
      <c r="I13" s="201" t="s">
        <v>1442</v>
      </c>
      <c r="J13" s="201" t="s">
        <v>1441</v>
      </c>
      <c r="K13" s="201" t="s">
        <v>1440</v>
      </c>
      <c r="L13" s="201" t="s">
        <v>1439</v>
      </c>
      <c r="M13" s="201" t="s">
        <v>1438</v>
      </c>
      <c r="N13" s="201" t="s">
        <v>1437</v>
      </c>
      <c r="O13" s="201" t="s">
        <v>1436</v>
      </c>
      <c r="P13" s="201" t="s">
        <v>1435</v>
      </c>
      <c r="Q13" s="201" t="s">
        <v>1434</v>
      </c>
      <c r="R13" s="201" t="s">
        <v>1433</v>
      </c>
      <c r="S13" s="201" t="s">
        <v>1432</v>
      </c>
      <c r="T13" s="201" t="s">
        <v>1431</v>
      </c>
      <c r="U13" s="201" t="s">
        <v>1430</v>
      </c>
      <c r="V13" s="201" t="s">
        <v>1429</v>
      </c>
      <c r="W13" s="201" t="s">
        <v>1428</v>
      </c>
      <c r="X13" s="201" t="s">
        <v>1427</v>
      </c>
      <c r="Y13" s="201" t="s">
        <v>1426</v>
      </c>
      <c r="Z13" s="201" t="s">
        <v>1425</v>
      </c>
      <c r="AA13" s="201" t="s">
        <v>1424</v>
      </c>
      <c r="AB13" s="201" t="s">
        <v>1423</v>
      </c>
      <c r="AC13" s="201" t="s">
        <v>1422</v>
      </c>
      <c r="AD13" s="201" t="s">
        <v>1421</v>
      </c>
      <c r="AE13" s="201" t="s">
        <v>1420</v>
      </c>
      <c r="AF13" s="201" t="s">
        <v>1419</v>
      </c>
      <c r="AG13" s="201" t="s">
        <v>1418</v>
      </c>
      <c r="AH13" s="201" t="s">
        <v>1417</v>
      </c>
      <c r="AI13" s="201" t="s">
        <v>1416</v>
      </c>
      <c r="AJ13" s="201" t="s">
        <v>1415</v>
      </c>
      <c r="AK13" s="201" t="s">
        <v>1414</v>
      </c>
      <c r="AL13" s="201" t="s">
        <v>1413</v>
      </c>
      <c r="AM13" s="201" t="s">
        <v>1412</v>
      </c>
      <c r="AN13" s="201" t="s">
        <v>1411</v>
      </c>
      <c r="AO13" s="201" t="s">
        <v>1410</v>
      </c>
      <c r="AP13" s="201" t="s">
        <v>1409</v>
      </c>
      <c r="AQ13" s="201" t="s">
        <v>1408</v>
      </c>
      <c r="AR13" s="201" t="s">
        <v>1407</v>
      </c>
      <c r="AS13" s="201" t="s">
        <v>1406</v>
      </c>
      <c r="AT13" s="201" t="s">
        <v>1405</v>
      </c>
      <c r="AU13" s="201" t="s">
        <v>1404</v>
      </c>
      <c r="AV13" s="201" t="s">
        <v>1403</v>
      </c>
      <c r="AW13" s="201" t="s">
        <v>1402</v>
      </c>
      <c r="AX13" s="201" t="s">
        <v>1401</v>
      </c>
      <c r="AY13" s="201" t="s">
        <v>1400</v>
      </c>
      <c r="AZ13" s="201" t="s">
        <v>1399</v>
      </c>
      <c r="BA13" s="201" t="s">
        <v>1398</v>
      </c>
      <c r="BB13" s="201" t="s">
        <v>1397</v>
      </c>
      <c r="BC13" s="201" t="s">
        <v>1396</v>
      </c>
      <c r="BD13" s="201" t="s">
        <v>1395</v>
      </c>
      <c r="BE13" s="201" t="s">
        <v>1394</v>
      </c>
      <c r="BF13" s="201" t="s">
        <v>1393</v>
      </c>
      <c r="BG13" s="201" t="s">
        <v>1392</v>
      </c>
      <c r="BH13" s="201" t="s">
        <v>1391</v>
      </c>
      <c r="BI13" s="201" t="s">
        <v>1390</v>
      </c>
      <c r="BJ13" s="201" t="s">
        <v>1389</v>
      </c>
      <c r="BK13" s="201" t="s">
        <v>1388</v>
      </c>
      <c r="BL13" s="201" t="s">
        <v>1387</v>
      </c>
      <c r="BM13" s="201" t="s">
        <v>1386</v>
      </c>
      <c r="BN13" s="201" t="s">
        <v>1385</v>
      </c>
      <c r="BO13" s="201" t="s">
        <v>1384</v>
      </c>
      <c r="BP13" s="201" t="s">
        <v>1383</v>
      </c>
      <c r="BQ13" s="201" t="s">
        <v>1382</v>
      </c>
      <c r="BR13" s="201" t="s">
        <v>1381</v>
      </c>
      <c r="BS13" s="201" t="s">
        <v>1380</v>
      </c>
      <c r="BT13" s="201" t="s">
        <v>1379</v>
      </c>
      <c r="BU13" s="201" t="s">
        <v>1378</v>
      </c>
      <c r="BV13" s="201" t="s">
        <v>1377</v>
      </c>
      <c r="BW13" s="201" t="s">
        <v>1376</v>
      </c>
      <c r="BX13" s="201" t="s">
        <v>1375</v>
      </c>
      <c r="BY13" s="201" t="s">
        <v>1374</v>
      </c>
      <c r="BZ13" s="201" t="s">
        <v>1373</v>
      </c>
      <c r="CA13" s="201" t="s">
        <v>1372</v>
      </c>
      <c r="CB13" s="201" t="s">
        <v>1371</v>
      </c>
      <c r="CC13" s="201" t="s">
        <v>1370</v>
      </c>
      <c r="CD13" s="201" t="s">
        <v>1369</v>
      </c>
      <c r="CE13" s="201" t="s">
        <v>1368</v>
      </c>
      <c r="CF13" s="201" t="s">
        <v>1367</v>
      </c>
      <c r="CG13" s="201" t="s">
        <v>1366</v>
      </c>
      <c r="CH13" s="201" t="s">
        <v>1365</v>
      </c>
      <c r="CI13" s="201" t="s">
        <v>1364</v>
      </c>
      <c r="CJ13" s="201" t="s">
        <v>1363</v>
      </c>
      <c r="CK13" s="201" t="s">
        <v>1362</v>
      </c>
      <c r="CL13" s="201" t="s">
        <v>1361</v>
      </c>
      <c r="CM13" s="201" t="s">
        <v>1360</v>
      </c>
    </row>
    <row r="14" spans="1:91">
      <c r="A14" s="202"/>
      <c r="B14" s="201" t="s">
        <v>1359</v>
      </c>
      <c r="C14" s="201" t="s">
        <v>2304</v>
      </c>
      <c r="D14" s="201" t="s">
        <v>2334</v>
      </c>
      <c r="E14" s="201" t="s">
        <v>2364</v>
      </c>
      <c r="F14" s="201" t="s">
        <v>2394</v>
      </c>
      <c r="G14" s="201" t="s">
        <v>2424</v>
      </c>
      <c r="H14" s="201" t="s">
        <v>1358</v>
      </c>
      <c r="I14" s="201" t="s">
        <v>1357</v>
      </c>
      <c r="J14" s="201" t="s">
        <v>1356</v>
      </c>
      <c r="K14" s="201" t="s">
        <v>1355</v>
      </c>
      <c r="L14" s="201" t="s">
        <v>1354</v>
      </c>
      <c r="M14" s="201" t="s">
        <v>1353</v>
      </c>
      <c r="N14" s="201" t="s">
        <v>1352</v>
      </c>
      <c r="O14" s="201" t="s">
        <v>1351</v>
      </c>
      <c r="P14" s="201" t="s">
        <v>1350</v>
      </c>
      <c r="Q14" s="201" t="s">
        <v>1349</v>
      </c>
      <c r="R14" s="201" t="s">
        <v>1348</v>
      </c>
      <c r="S14" s="201" t="s">
        <v>1347</v>
      </c>
      <c r="T14" s="201" t="s">
        <v>1346</v>
      </c>
      <c r="U14" s="201" t="s">
        <v>1345</v>
      </c>
      <c r="V14" s="201" t="s">
        <v>1344</v>
      </c>
      <c r="W14" s="201" t="s">
        <v>1343</v>
      </c>
      <c r="X14" s="201" t="s">
        <v>1342</v>
      </c>
      <c r="Y14" s="201" t="s">
        <v>1341</v>
      </c>
      <c r="Z14" s="201" t="s">
        <v>1340</v>
      </c>
      <c r="AA14" s="201" t="s">
        <v>1339</v>
      </c>
      <c r="AB14" s="201" t="s">
        <v>1338</v>
      </c>
      <c r="AC14" s="201" t="s">
        <v>1337</v>
      </c>
      <c r="AD14" s="201" t="s">
        <v>1336</v>
      </c>
      <c r="AE14" s="201" t="s">
        <v>1335</v>
      </c>
      <c r="AF14" s="201" t="s">
        <v>1334</v>
      </c>
      <c r="AG14" s="201" t="s">
        <v>1333</v>
      </c>
      <c r="AH14" s="201" t="s">
        <v>1332</v>
      </c>
      <c r="AI14" s="201" t="s">
        <v>1331</v>
      </c>
      <c r="AJ14" s="201" t="s">
        <v>1330</v>
      </c>
      <c r="AK14" s="201" t="s">
        <v>1329</v>
      </c>
      <c r="AL14" s="201" t="s">
        <v>1328</v>
      </c>
      <c r="AM14" s="201" t="s">
        <v>1327</v>
      </c>
      <c r="AN14" s="201" t="s">
        <v>1326</v>
      </c>
      <c r="AO14" s="201" t="s">
        <v>1325</v>
      </c>
      <c r="AP14" s="201" t="s">
        <v>1324</v>
      </c>
      <c r="AQ14" s="201" t="s">
        <v>1323</v>
      </c>
      <c r="AR14" s="201" t="s">
        <v>1322</v>
      </c>
      <c r="AS14" s="201" t="s">
        <v>1321</v>
      </c>
      <c r="AT14" s="201" t="s">
        <v>1320</v>
      </c>
      <c r="AU14" s="201" t="s">
        <v>1319</v>
      </c>
      <c r="AV14" s="201" t="s">
        <v>1318</v>
      </c>
      <c r="AW14" s="201" t="s">
        <v>1317</v>
      </c>
      <c r="AX14" s="201" t="s">
        <v>1316</v>
      </c>
      <c r="AY14" s="201" t="s">
        <v>1315</v>
      </c>
      <c r="AZ14" s="201" t="s">
        <v>1314</v>
      </c>
      <c r="BA14" s="201" t="s">
        <v>1313</v>
      </c>
      <c r="BB14" s="201" t="s">
        <v>1312</v>
      </c>
      <c r="BC14" s="201" t="s">
        <v>1311</v>
      </c>
      <c r="BD14" s="201" t="s">
        <v>1310</v>
      </c>
      <c r="BE14" s="201" t="s">
        <v>1309</v>
      </c>
      <c r="BF14" s="201" t="s">
        <v>1308</v>
      </c>
      <c r="BG14" s="201" t="s">
        <v>1307</v>
      </c>
      <c r="BH14" s="201" t="s">
        <v>1306</v>
      </c>
      <c r="BI14" s="201" t="s">
        <v>1305</v>
      </c>
      <c r="BJ14" s="201" t="s">
        <v>1304</v>
      </c>
      <c r="BK14" s="201" t="s">
        <v>1303</v>
      </c>
      <c r="BL14" s="201" t="s">
        <v>1302</v>
      </c>
      <c r="BM14" s="201" t="s">
        <v>1301</v>
      </c>
      <c r="BN14" s="201" t="s">
        <v>1300</v>
      </c>
      <c r="BO14" s="201" t="s">
        <v>1299</v>
      </c>
      <c r="BP14" s="201" t="s">
        <v>1298</v>
      </c>
      <c r="BQ14" s="201" t="s">
        <v>1297</v>
      </c>
      <c r="BR14" s="201" t="s">
        <v>1296</v>
      </c>
      <c r="BS14" s="201" t="s">
        <v>1295</v>
      </c>
      <c r="BT14" s="201" t="s">
        <v>1294</v>
      </c>
      <c r="BU14" s="201" t="s">
        <v>1293</v>
      </c>
      <c r="BV14" s="201" t="s">
        <v>1292</v>
      </c>
      <c r="BW14" s="201" t="s">
        <v>1291</v>
      </c>
      <c r="BX14" s="201" t="s">
        <v>1290</v>
      </c>
      <c r="BY14" s="201" t="s">
        <v>1289</v>
      </c>
      <c r="BZ14" s="201" t="s">
        <v>1288</v>
      </c>
      <c r="CA14" s="201" t="s">
        <v>1287</v>
      </c>
      <c r="CB14" s="201" t="s">
        <v>1286</v>
      </c>
      <c r="CC14" s="201" t="s">
        <v>1285</v>
      </c>
      <c r="CD14" s="201" t="s">
        <v>1284</v>
      </c>
      <c r="CE14" s="201" t="s">
        <v>1283</v>
      </c>
      <c r="CF14" s="201" t="s">
        <v>1282</v>
      </c>
      <c r="CG14" s="201" t="s">
        <v>1281</v>
      </c>
      <c r="CH14" s="201" t="s">
        <v>1280</v>
      </c>
      <c r="CI14" s="201" t="s">
        <v>1279</v>
      </c>
      <c r="CJ14" s="201" t="s">
        <v>1278</v>
      </c>
      <c r="CK14" s="201" t="s">
        <v>1277</v>
      </c>
      <c r="CL14" s="201" t="s">
        <v>1276</v>
      </c>
      <c r="CM14" s="201" t="s">
        <v>1275</v>
      </c>
    </row>
    <row r="15" spans="1:91">
      <c r="A15" s="202"/>
      <c r="B15" s="201" t="s">
        <v>1274</v>
      </c>
      <c r="C15" s="201" t="s">
        <v>2305</v>
      </c>
      <c r="D15" s="201" t="s">
        <v>2335</v>
      </c>
      <c r="E15" s="201" t="s">
        <v>2365</v>
      </c>
      <c r="F15" s="201" t="s">
        <v>2395</v>
      </c>
      <c r="G15" s="201" t="s">
        <v>2425</v>
      </c>
      <c r="H15" s="201" t="s">
        <v>1273</v>
      </c>
      <c r="I15" s="201" t="s">
        <v>1272</v>
      </c>
      <c r="J15" s="201" t="s">
        <v>1271</v>
      </c>
      <c r="K15" s="201" t="s">
        <v>1270</v>
      </c>
      <c r="L15" s="201" t="s">
        <v>1269</v>
      </c>
      <c r="M15" s="201" t="s">
        <v>1268</v>
      </c>
      <c r="N15" s="201" t="s">
        <v>1267</v>
      </c>
      <c r="O15" s="201" t="s">
        <v>1266</v>
      </c>
      <c r="P15" s="201" t="s">
        <v>1265</v>
      </c>
      <c r="Q15" s="201" t="s">
        <v>1264</v>
      </c>
      <c r="R15" s="201" t="s">
        <v>1263</v>
      </c>
      <c r="S15" s="201" t="s">
        <v>1262</v>
      </c>
      <c r="T15" s="201" t="s">
        <v>1261</v>
      </c>
      <c r="U15" s="201" t="s">
        <v>1260</v>
      </c>
      <c r="V15" s="201" t="s">
        <v>1259</v>
      </c>
      <c r="W15" s="201" t="s">
        <v>1258</v>
      </c>
      <c r="X15" s="201" t="s">
        <v>1257</v>
      </c>
      <c r="Y15" s="201" t="s">
        <v>1256</v>
      </c>
      <c r="Z15" s="201" t="s">
        <v>1255</v>
      </c>
      <c r="AA15" s="201" t="s">
        <v>1254</v>
      </c>
      <c r="AB15" s="201" t="s">
        <v>1253</v>
      </c>
      <c r="AC15" s="201" t="s">
        <v>1252</v>
      </c>
      <c r="AD15" s="201" t="s">
        <v>1251</v>
      </c>
      <c r="AE15" s="201" t="s">
        <v>1250</v>
      </c>
      <c r="AF15" s="201" t="s">
        <v>1249</v>
      </c>
      <c r="AG15" s="201" t="s">
        <v>1248</v>
      </c>
      <c r="AH15" s="201" t="s">
        <v>1247</v>
      </c>
      <c r="AI15" s="201" t="s">
        <v>1246</v>
      </c>
      <c r="AJ15" s="201" t="s">
        <v>1245</v>
      </c>
      <c r="AK15" s="201" t="s">
        <v>1244</v>
      </c>
      <c r="AL15" s="201" t="s">
        <v>1243</v>
      </c>
      <c r="AM15" s="201" t="s">
        <v>1242</v>
      </c>
      <c r="AN15" s="201" t="s">
        <v>1241</v>
      </c>
      <c r="AO15" s="201" t="s">
        <v>1240</v>
      </c>
      <c r="AP15" s="201" t="s">
        <v>1239</v>
      </c>
      <c r="AQ15" s="201" t="s">
        <v>1238</v>
      </c>
      <c r="AR15" s="201" t="s">
        <v>1237</v>
      </c>
      <c r="AS15" s="201" t="s">
        <v>1236</v>
      </c>
      <c r="AT15" s="201" t="s">
        <v>1235</v>
      </c>
      <c r="AU15" s="201" t="s">
        <v>1234</v>
      </c>
      <c r="AV15" s="201" t="s">
        <v>1233</v>
      </c>
      <c r="AW15" s="201" t="s">
        <v>1232</v>
      </c>
      <c r="AX15" s="201" t="s">
        <v>1231</v>
      </c>
      <c r="AY15" s="201" t="s">
        <v>1230</v>
      </c>
      <c r="AZ15" s="201" t="s">
        <v>1229</v>
      </c>
      <c r="BA15" s="201" t="s">
        <v>1228</v>
      </c>
      <c r="BB15" s="201" t="s">
        <v>1227</v>
      </c>
      <c r="BC15" s="201" t="s">
        <v>1226</v>
      </c>
      <c r="BD15" s="201" t="s">
        <v>1225</v>
      </c>
      <c r="BE15" s="201" t="s">
        <v>1224</v>
      </c>
      <c r="BF15" s="201" t="s">
        <v>1223</v>
      </c>
      <c r="BG15" s="201" t="s">
        <v>1222</v>
      </c>
      <c r="BH15" s="201" t="s">
        <v>1221</v>
      </c>
      <c r="BI15" s="201" t="s">
        <v>1220</v>
      </c>
      <c r="BJ15" s="201" t="s">
        <v>1219</v>
      </c>
      <c r="BK15" s="201" t="s">
        <v>1218</v>
      </c>
      <c r="BL15" s="201" t="s">
        <v>1217</v>
      </c>
      <c r="BM15" s="201" t="s">
        <v>1216</v>
      </c>
      <c r="BN15" s="201" t="s">
        <v>1215</v>
      </c>
      <c r="BO15" s="201" t="s">
        <v>1214</v>
      </c>
      <c r="BP15" s="201" t="s">
        <v>1213</v>
      </c>
      <c r="BQ15" s="201" t="s">
        <v>1212</v>
      </c>
      <c r="BR15" s="201" t="s">
        <v>1211</v>
      </c>
      <c r="BS15" s="201" t="s">
        <v>1210</v>
      </c>
      <c r="BT15" s="201" t="s">
        <v>1209</v>
      </c>
      <c r="BU15" s="201" t="s">
        <v>1208</v>
      </c>
      <c r="BV15" s="201" t="s">
        <v>1207</v>
      </c>
      <c r="BW15" s="201" t="s">
        <v>1206</v>
      </c>
      <c r="BX15" s="201" t="s">
        <v>1205</v>
      </c>
      <c r="BY15" s="201" t="s">
        <v>1204</v>
      </c>
      <c r="BZ15" s="201" t="s">
        <v>1203</v>
      </c>
      <c r="CA15" s="201" t="s">
        <v>1202</v>
      </c>
      <c r="CB15" s="201" t="s">
        <v>1201</v>
      </c>
      <c r="CC15" s="201" t="s">
        <v>1200</v>
      </c>
      <c r="CD15" s="201" t="s">
        <v>1199</v>
      </c>
      <c r="CE15" s="201" t="s">
        <v>1198</v>
      </c>
      <c r="CF15" s="201" t="s">
        <v>1197</v>
      </c>
      <c r="CG15" s="201" t="s">
        <v>1196</v>
      </c>
      <c r="CH15" s="201" t="s">
        <v>1195</v>
      </c>
      <c r="CI15" s="201" t="s">
        <v>1194</v>
      </c>
      <c r="CJ15" s="201" t="s">
        <v>1193</v>
      </c>
      <c r="CK15" s="201" t="s">
        <v>1192</v>
      </c>
      <c r="CL15" s="201" t="s">
        <v>1191</v>
      </c>
      <c r="CM15" s="201" t="s">
        <v>1190</v>
      </c>
    </row>
    <row r="16" spans="1:91">
      <c r="A16" s="202"/>
      <c r="B16" s="201" t="s">
        <v>1189</v>
      </c>
      <c r="C16" s="201" t="s">
        <v>2306</v>
      </c>
      <c r="D16" s="201" t="s">
        <v>2336</v>
      </c>
      <c r="E16" s="201" t="s">
        <v>2366</v>
      </c>
      <c r="F16" s="201" t="s">
        <v>2396</v>
      </c>
      <c r="G16" s="201" t="s">
        <v>2426</v>
      </c>
      <c r="H16" s="201" t="s">
        <v>1188</v>
      </c>
      <c r="I16" s="201" t="s">
        <v>1187</v>
      </c>
      <c r="J16" s="201" t="s">
        <v>1186</v>
      </c>
      <c r="K16" s="201" t="s">
        <v>1185</v>
      </c>
      <c r="L16" s="201" t="s">
        <v>1184</v>
      </c>
      <c r="M16" s="201" t="s">
        <v>1183</v>
      </c>
      <c r="N16" s="201" t="s">
        <v>1182</v>
      </c>
      <c r="O16" s="201" t="s">
        <v>1181</v>
      </c>
      <c r="P16" s="201" t="s">
        <v>1180</v>
      </c>
      <c r="Q16" s="201" t="s">
        <v>1179</v>
      </c>
      <c r="R16" s="201" t="s">
        <v>1178</v>
      </c>
      <c r="S16" s="201" t="s">
        <v>1177</v>
      </c>
      <c r="T16" s="201" t="s">
        <v>1176</v>
      </c>
      <c r="U16" s="201" t="s">
        <v>1175</v>
      </c>
      <c r="V16" s="201" t="s">
        <v>1174</v>
      </c>
      <c r="W16" s="201" t="s">
        <v>1173</v>
      </c>
      <c r="X16" s="201" t="s">
        <v>1172</v>
      </c>
      <c r="Y16" s="201" t="s">
        <v>1171</v>
      </c>
      <c r="Z16" s="201" t="s">
        <v>1170</v>
      </c>
      <c r="AA16" s="201" t="s">
        <v>1169</v>
      </c>
      <c r="AB16" s="201" t="s">
        <v>1168</v>
      </c>
      <c r="AC16" s="201" t="s">
        <v>1167</v>
      </c>
      <c r="AD16" s="201" t="s">
        <v>1166</v>
      </c>
      <c r="AE16" s="201" t="s">
        <v>1165</v>
      </c>
      <c r="AF16" s="201" t="s">
        <v>1164</v>
      </c>
      <c r="AG16" s="201" t="s">
        <v>1163</v>
      </c>
      <c r="AH16" s="201" t="s">
        <v>1162</v>
      </c>
      <c r="AI16" s="201" t="s">
        <v>1161</v>
      </c>
      <c r="AJ16" s="201" t="s">
        <v>1160</v>
      </c>
      <c r="AK16" s="201" t="s">
        <v>1159</v>
      </c>
      <c r="AL16" s="201" t="s">
        <v>1158</v>
      </c>
      <c r="AM16" s="201" t="s">
        <v>1157</v>
      </c>
      <c r="AN16" s="201" t="s">
        <v>1156</v>
      </c>
      <c r="AO16" s="201" t="s">
        <v>1155</v>
      </c>
      <c r="AP16" s="201" t="s">
        <v>1154</v>
      </c>
      <c r="AQ16" s="201" t="s">
        <v>1153</v>
      </c>
      <c r="AR16" s="201" t="s">
        <v>1152</v>
      </c>
      <c r="AS16" s="201" t="s">
        <v>1151</v>
      </c>
      <c r="AT16" s="201" t="s">
        <v>1150</v>
      </c>
      <c r="AU16" s="201" t="s">
        <v>1149</v>
      </c>
      <c r="AV16" s="201" t="s">
        <v>1148</v>
      </c>
      <c r="AW16" s="201" t="s">
        <v>1147</v>
      </c>
      <c r="AX16" s="201" t="s">
        <v>1146</v>
      </c>
      <c r="AY16" s="201" t="s">
        <v>1145</v>
      </c>
      <c r="AZ16" s="201" t="s">
        <v>1144</v>
      </c>
      <c r="BA16" s="201" t="s">
        <v>1143</v>
      </c>
      <c r="BB16" s="201" t="s">
        <v>1142</v>
      </c>
      <c r="BC16" s="201" t="s">
        <v>1141</v>
      </c>
      <c r="BD16" s="201" t="s">
        <v>1140</v>
      </c>
      <c r="BE16" s="201" t="s">
        <v>1139</v>
      </c>
      <c r="BF16" s="201" t="s">
        <v>1138</v>
      </c>
      <c r="BG16" s="201" t="s">
        <v>1137</v>
      </c>
      <c r="BH16" s="201" t="s">
        <v>1136</v>
      </c>
      <c r="BI16" s="201" t="s">
        <v>1135</v>
      </c>
      <c r="BJ16" s="201" t="s">
        <v>1134</v>
      </c>
      <c r="BK16" s="201" t="s">
        <v>1133</v>
      </c>
      <c r="BL16" s="201" t="s">
        <v>1132</v>
      </c>
      <c r="BM16" s="201" t="s">
        <v>1131</v>
      </c>
      <c r="BN16" s="201" t="s">
        <v>1130</v>
      </c>
      <c r="BO16" s="201" t="s">
        <v>1129</v>
      </c>
      <c r="BP16" s="201" t="s">
        <v>1128</v>
      </c>
      <c r="BQ16" s="201" t="s">
        <v>1127</v>
      </c>
      <c r="BR16" s="201" t="s">
        <v>1126</v>
      </c>
      <c r="BS16" s="201" t="s">
        <v>1125</v>
      </c>
      <c r="BT16" s="201" t="s">
        <v>1124</v>
      </c>
      <c r="BU16" s="201" t="s">
        <v>1123</v>
      </c>
      <c r="BV16" s="201" t="s">
        <v>1122</v>
      </c>
      <c r="BW16" s="201" t="s">
        <v>1121</v>
      </c>
      <c r="BX16" s="201" t="s">
        <v>1120</v>
      </c>
      <c r="BY16" s="201" t="s">
        <v>1119</v>
      </c>
      <c r="BZ16" s="201" t="s">
        <v>1118</v>
      </c>
      <c r="CA16" s="201" t="s">
        <v>1117</v>
      </c>
      <c r="CB16" s="201" t="s">
        <v>1116</v>
      </c>
      <c r="CC16" s="201" t="s">
        <v>1115</v>
      </c>
      <c r="CD16" s="201" t="s">
        <v>1114</v>
      </c>
      <c r="CE16" s="201" t="s">
        <v>1113</v>
      </c>
      <c r="CF16" s="201" t="s">
        <v>1112</v>
      </c>
      <c r="CG16" s="201" t="s">
        <v>1111</v>
      </c>
      <c r="CH16" s="201" t="s">
        <v>1110</v>
      </c>
      <c r="CI16" s="201" t="s">
        <v>1109</v>
      </c>
      <c r="CJ16" s="201" t="s">
        <v>1108</v>
      </c>
      <c r="CK16" s="201" t="s">
        <v>1107</v>
      </c>
      <c r="CL16" s="201" t="s">
        <v>1106</v>
      </c>
      <c r="CM16" s="201" t="s">
        <v>1105</v>
      </c>
    </row>
    <row r="17" spans="1:91">
      <c r="A17" s="202"/>
      <c r="B17" s="201" t="s">
        <v>1104</v>
      </c>
      <c r="C17" s="201" t="s">
        <v>2307</v>
      </c>
      <c r="D17" s="201" t="s">
        <v>2337</v>
      </c>
      <c r="E17" s="201" t="s">
        <v>2367</v>
      </c>
      <c r="F17" s="201" t="s">
        <v>2397</v>
      </c>
      <c r="G17" s="201" t="s">
        <v>2427</v>
      </c>
      <c r="H17" s="201" t="s">
        <v>1103</v>
      </c>
      <c r="I17" s="201" t="s">
        <v>1102</v>
      </c>
      <c r="J17" s="201" t="s">
        <v>1101</v>
      </c>
      <c r="K17" s="201" t="s">
        <v>1100</v>
      </c>
      <c r="L17" s="201" t="s">
        <v>1099</v>
      </c>
      <c r="M17" s="201" t="s">
        <v>1098</v>
      </c>
      <c r="N17" s="201" t="s">
        <v>1097</v>
      </c>
      <c r="O17" s="201" t="s">
        <v>1096</v>
      </c>
      <c r="P17" s="201" t="s">
        <v>1095</v>
      </c>
      <c r="Q17" s="201" t="s">
        <v>1094</v>
      </c>
      <c r="R17" s="201" t="s">
        <v>1093</v>
      </c>
      <c r="S17" s="201" t="s">
        <v>1092</v>
      </c>
      <c r="T17" s="201" t="s">
        <v>1091</v>
      </c>
      <c r="U17" s="201" t="s">
        <v>1090</v>
      </c>
      <c r="V17" s="201" t="s">
        <v>1089</v>
      </c>
      <c r="W17" s="201" t="s">
        <v>1088</v>
      </c>
      <c r="X17" s="201" t="s">
        <v>1087</v>
      </c>
      <c r="Y17" s="201" t="s">
        <v>1086</v>
      </c>
      <c r="Z17" s="201" t="s">
        <v>1085</v>
      </c>
      <c r="AA17" s="201" t="s">
        <v>1084</v>
      </c>
      <c r="AB17" s="201" t="s">
        <v>1083</v>
      </c>
      <c r="AC17" s="201" t="s">
        <v>1082</v>
      </c>
      <c r="AD17" s="201" t="s">
        <v>1081</v>
      </c>
      <c r="AE17" s="201" t="s">
        <v>1080</v>
      </c>
      <c r="AF17" s="201" t="s">
        <v>1079</v>
      </c>
      <c r="AG17" s="201" t="s">
        <v>1078</v>
      </c>
      <c r="AH17" s="201" t="s">
        <v>1077</v>
      </c>
      <c r="AI17" s="201" t="s">
        <v>1076</v>
      </c>
      <c r="AJ17" s="201" t="s">
        <v>1075</v>
      </c>
      <c r="AK17" s="201" t="s">
        <v>1074</v>
      </c>
      <c r="AL17" s="201" t="s">
        <v>1073</v>
      </c>
      <c r="AM17" s="201" t="s">
        <v>1072</v>
      </c>
      <c r="AN17" s="201" t="s">
        <v>1071</v>
      </c>
      <c r="AO17" s="201" t="s">
        <v>1070</v>
      </c>
      <c r="AP17" s="201" t="s">
        <v>1069</v>
      </c>
      <c r="AQ17" s="201" t="s">
        <v>1068</v>
      </c>
      <c r="AR17" s="201" t="s">
        <v>1067</v>
      </c>
      <c r="AS17" s="201" t="s">
        <v>1066</v>
      </c>
      <c r="AT17" s="201" t="s">
        <v>1065</v>
      </c>
      <c r="AU17" s="201" t="s">
        <v>1064</v>
      </c>
      <c r="AV17" s="201" t="s">
        <v>1063</v>
      </c>
      <c r="AW17" s="201" t="s">
        <v>1062</v>
      </c>
      <c r="AX17" s="201" t="s">
        <v>1061</v>
      </c>
      <c r="AY17" s="201" t="s">
        <v>1060</v>
      </c>
      <c r="AZ17" s="201" t="s">
        <v>1059</v>
      </c>
      <c r="BA17" s="201" t="s">
        <v>1058</v>
      </c>
      <c r="BB17" s="201" t="s">
        <v>1057</v>
      </c>
      <c r="BC17" s="201" t="s">
        <v>1056</v>
      </c>
      <c r="BD17" s="201" t="s">
        <v>1055</v>
      </c>
      <c r="BE17" s="201" t="s">
        <v>1054</v>
      </c>
      <c r="BF17" s="201" t="s">
        <v>1053</v>
      </c>
      <c r="BG17" s="201" t="s">
        <v>1052</v>
      </c>
      <c r="BH17" s="201" t="s">
        <v>1051</v>
      </c>
      <c r="BI17" s="201" t="s">
        <v>1050</v>
      </c>
      <c r="BJ17" s="201" t="s">
        <v>1049</v>
      </c>
      <c r="BK17" s="201" t="s">
        <v>1048</v>
      </c>
      <c r="BL17" s="201" t="s">
        <v>1047</v>
      </c>
      <c r="BM17" s="201" t="s">
        <v>1046</v>
      </c>
      <c r="BN17" s="201" t="s">
        <v>1045</v>
      </c>
      <c r="BO17" s="201" t="s">
        <v>1044</v>
      </c>
      <c r="BP17" s="201" t="s">
        <v>1043</v>
      </c>
      <c r="BQ17" s="201" t="s">
        <v>1042</v>
      </c>
      <c r="BR17" s="201" t="s">
        <v>1041</v>
      </c>
      <c r="BS17" s="201" t="s">
        <v>1040</v>
      </c>
      <c r="BT17" s="201" t="s">
        <v>1039</v>
      </c>
      <c r="BU17" s="201" t="s">
        <v>1038</v>
      </c>
      <c r="BV17" s="201" t="s">
        <v>1037</v>
      </c>
      <c r="BW17" s="201" t="s">
        <v>1036</v>
      </c>
      <c r="BX17" s="201" t="s">
        <v>1035</v>
      </c>
      <c r="BY17" s="201" t="s">
        <v>1034</v>
      </c>
      <c r="BZ17" s="201" t="s">
        <v>1033</v>
      </c>
      <c r="CA17" s="201" t="s">
        <v>1032</v>
      </c>
      <c r="CB17" s="201" t="s">
        <v>1031</v>
      </c>
      <c r="CC17" s="201" t="s">
        <v>1030</v>
      </c>
      <c r="CD17" s="201" t="s">
        <v>1029</v>
      </c>
      <c r="CE17" s="201" t="s">
        <v>1028</v>
      </c>
      <c r="CF17" s="201" t="s">
        <v>1027</v>
      </c>
      <c r="CG17" s="201" t="s">
        <v>1026</v>
      </c>
      <c r="CH17" s="201" t="s">
        <v>1025</v>
      </c>
      <c r="CI17" s="201" t="s">
        <v>1024</v>
      </c>
      <c r="CJ17" s="201" t="s">
        <v>1023</v>
      </c>
      <c r="CK17" s="201" t="s">
        <v>1022</v>
      </c>
      <c r="CL17" s="201" t="s">
        <v>1021</v>
      </c>
      <c r="CM17" s="201" t="s">
        <v>1020</v>
      </c>
    </row>
    <row r="18" spans="1:91">
      <c r="A18" s="202"/>
      <c r="B18" s="201" t="s">
        <v>1019</v>
      </c>
      <c r="C18" s="201" t="s">
        <v>2308</v>
      </c>
      <c r="D18" s="201" t="s">
        <v>2338</v>
      </c>
      <c r="E18" s="201" t="s">
        <v>2368</v>
      </c>
      <c r="F18" s="201" t="s">
        <v>2398</v>
      </c>
      <c r="G18" s="201" t="s">
        <v>2428</v>
      </c>
      <c r="H18" s="201" t="s">
        <v>1018</v>
      </c>
      <c r="I18" s="201" t="s">
        <v>1017</v>
      </c>
      <c r="J18" s="201" t="s">
        <v>1016</v>
      </c>
      <c r="K18" s="201" t="s">
        <v>1015</v>
      </c>
      <c r="L18" s="201" t="s">
        <v>1014</v>
      </c>
      <c r="M18" s="201" t="s">
        <v>1013</v>
      </c>
      <c r="N18" s="201" t="s">
        <v>1012</v>
      </c>
      <c r="O18" s="201" t="s">
        <v>1011</v>
      </c>
      <c r="P18" s="201" t="s">
        <v>1010</v>
      </c>
      <c r="Q18" s="201" t="s">
        <v>1009</v>
      </c>
      <c r="R18" s="201" t="s">
        <v>1008</v>
      </c>
      <c r="S18" s="201" t="s">
        <v>1007</v>
      </c>
      <c r="T18" s="201" t="s">
        <v>1006</v>
      </c>
      <c r="U18" s="201" t="s">
        <v>1005</v>
      </c>
      <c r="V18" s="201" t="s">
        <v>1004</v>
      </c>
      <c r="W18" s="201" t="s">
        <v>1003</v>
      </c>
      <c r="X18" s="201" t="s">
        <v>1002</v>
      </c>
      <c r="Y18" s="201" t="s">
        <v>1001</v>
      </c>
      <c r="Z18" s="201" t="s">
        <v>1000</v>
      </c>
      <c r="AA18" s="201" t="s">
        <v>999</v>
      </c>
      <c r="AB18" s="201" t="s">
        <v>998</v>
      </c>
      <c r="AC18" s="201" t="s">
        <v>997</v>
      </c>
      <c r="AD18" s="201" t="s">
        <v>996</v>
      </c>
      <c r="AE18" s="201" t="s">
        <v>995</v>
      </c>
      <c r="AF18" s="201" t="s">
        <v>994</v>
      </c>
      <c r="AG18" s="201" t="s">
        <v>993</v>
      </c>
      <c r="AH18" s="201" t="s">
        <v>992</v>
      </c>
      <c r="AI18" s="201" t="s">
        <v>991</v>
      </c>
      <c r="AJ18" s="201" t="s">
        <v>990</v>
      </c>
      <c r="AK18" s="201" t="s">
        <v>989</v>
      </c>
      <c r="AL18" s="201" t="s">
        <v>988</v>
      </c>
      <c r="AM18" s="201" t="s">
        <v>987</v>
      </c>
      <c r="AN18" s="201" t="s">
        <v>986</v>
      </c>
      <c r="AO18" s="201" t="s">
        <v>985</v>
      </c>
      <c r="AP18" s="201" t="s">
        <v>984</v>
      </c>
      <c r="AQ18" s="201" t="s">
        <v>983</v>
      </c>
      <c r="AR18" s="201" t="s">
        <v>982</v>
      </c>
      <c r="AS18" s="201" t="s">
        <v>981</v>
      </c>
      <c r="AT18" s="201" t="s">
        <v>980</v>
      </c>
      <c r="AU18" s="201" t="s">
        <v>979</v>
      </c>
      <c r="AV18" s="201" t="s">
        <v>978</v>
      </c>
      <c r="AW18" s="201" t="s">
        <v>977</v>
      </c>
      <c r="AX18" s="201" t="s">
        <v>976</v>
      </c>
      <c r="AY18" s="201" t="s">
        <v>975</v>
      </c>
      <c r="AZ18" s="201" t="s">
        <v>974</v>
      </c>
      <c r="BA18" s="201" t="s">
        <v>973</v>
      </c>
      <c r="BB18" s="201" t="s">
        <v>972</v>
      </c>
      <c r="BC18" s="201" t="s">
        <v>971</v>
      </c>
      <c r="BD18" s="201" t="s">
        <v>970</v>
      </c>
      <c r="BE18" s="201" t="s">
        <v>969</v>
      </c>
      <c r="BF18" s="201" t="s">
        <v>968</v>
      </c>
      <c r="BG18" s="201" t="s">
        <v>967</v>
      </c>
      <c r="BH18" s="201" t="s">
        <v>966</v>
      </c>
      <c r="BI18" s="201" t="s">
        <v>965</v>
      </c>
      <c r="BJ18" s="201" t="s">
        <v>964</v>
      </c>
      <c r="BK18" s="201" t="s">
        <v>963</v>
      </c>
      <c r="BL18" s="201" t="s">
        <v>962</v>
      </c>
      <c r="BM18" s="201" t="s">
        <v>961</v>
      </c>
      <c r="BN18" s="201" t="s">
        <v>960</v>
      </c>
      <c r="BO18" s="201" t="s">
        <v>959</v>
      </c>
      <c r="BP18" s="201" t="s">
        <v>958</v>
      </c>
      <c r="BQ18" s="201" t="s">
        <v>957</v>
      </c>
      <c r="BR18" s="201" t="s">
        <v>956</v>
      </c>
      <c r="BS18" s="201" t="s">
        <v>955</v>
      </c>
      <c r="BT18" s="201" t="s">
        <v>954</v>
      </c>
      <c r="BU18" s="201" t="s">
        <v>953</v>
      </c>
      <c r="BV18" s="201" t="s">
        <v>952</v>
      </c>
      <c r="BW18" s="201" t="s">
        <v>951</v>
      </c>
      <c r="BX18" s="201" t="s">
        <v>950</v>
      </c>
      <c r="BY18" s="201" t="s">
        <v>949</v>
      </c>
      <c r="BZ18" s="201" t="s">
        <v>948</v>
      </c>
      <c r="CA18" s="201" t="s">
        <v>947</v>
      </c>
      <c r="CB18" s="201" t="s">
        <v>946</v>
      </c>
      <c r="CC18" s="201" t="s">
        <v>945</v>
      </c>
      <c r="CD18" s="201" t="s">
        <v>944</v>
      </c>
      <c r="CE18" s="201" t="s">
        <v>943</v>
      </c>
      <c r="CF18" s="201" t="s">
        <v>942</v>
      </c>
      <c r="CG18" s="201" t="s">
        <v>941</v>
      </c>
      <c r="CH18" s="201" t="s">
        <v>940</v>
      </c>
      <c r="CI18" s="201" t="s">
        <v>939</v>
      </c>
      <c r="CJ18" s="201" t="s">
        <v>938</v>
      </c>
      <c r="CK18" s="201" t="s">
        <v>937</v>
      </c>
      <c r="CL18" s="201" t="s">
        <v>936</v>
      </c>
      <c r="CM18" s="201" t="s">
        <v>935</v>
      </c>
    </row>
    <row r="19" spans="1:91" ht="12.75" customHeight="1">
      <c r="A19" s="463" t="s">
        <v>2501</v>
      </c>
      <c r="B19" s="201" t="s">
        <v>934</v>
      </c>
      <c r="C19" s="201" t="s">
        <v>2309</v>
      </c>
      <c r="D19" s="201" t="s">
        <v>2339</v>
      </c>
      <c r="E19" s="201" t="s">
        <v>2369</v>
      </c>
      <c r="F19" s="201" t="s">
        <v>2399</v>
      </c>
      <c r="G19" s="201" t="s">
        <v>2429</v>
      </c>
      <c r="H19" s="201" t="s">
        <v>933</v>
      </c>
      <c r="I19" s="201" t="s">
        <v>932</v>
      </c>
      <c r="J19" s="201" t="s">
        <v>931</v>
      </c>
      <c r="K19" s="201" t="s">
        <v>930</v>
      </c>
      <c r="L19" s="201" t="s">
        <v>929</v>
      </c>
      <c r="M19" s="201" t="s">
        <v>928</v>
      </c>
      <c r="N19" s="201" t="s">
        <v>927</v>
      </c>
      <c r="O19" s="201" t="s">
        <v>926</v>
      </c>
      <c r="P19" s="201" t="s">
        <v>925</v>
      </c>
      <c r="Q19" s="201" t="s">
        <v>924</v>
      </c>
      <c r="R19" s="201" t="s">
        <v>923</v>
      </c>
      <c r="S19" s="201" t="s">
        <v>922</v>
      </c>
      <c r="T19" s="201" t="s">
        <v>921</v>
      </c>
      <c r="U19" s="201" t="s">
        <v>920</v>
      </c>
      <c r="V19" s="201" t="s">
        <v>919</v>
      </c>
      <c r="W19" s="201" t="s">
        <v>918</v>
      </c>
      <c r="X19" s="201" t="s">
        <v>917</v>
      </c>
      <c r="Y19" s="201" t="s">
        <v>916</v>
      </c>
      <c r="Z19" s="201" t="s">
        <v>915</v>
      </c>
      <c r="AA19" s="201" t="s">
        <v>914</v>
      </c>
      <c r="AB19" s="201" t="s">
        <v>913</v>
      </c>
      <c r="AC19" s="201" t="s">
        <v>912</v>
      </c>
      <c r="AD19" s="201" t="s">
        <v>911</v>
      </c>
      <c r="AE19" s="201" t="s">
        <v>910</v>
      </c>
      <c r="AF19" s="201" t="s">
        <v>909</v>
      </c>
      <c r="AG19" s="201" t="s">
        <v>908</v>
      </c>
      <c r="AH19" s="201" t="s">
        <v>907</v>
      </c>
      <c r="AI19" s="201" t="s">
        <v>906</v>
      </c>
      <c r="AJ19" s="201" t="s">
        <v>905</v>
      </c>
      <c r="AK19" s="201" t="s">
        <v>904</v>
      </c>
      <c r="AL19" s="201" t="s">
        <v>903</v>
      </c>
      <c r="AM19" s="201" t="s">
        <v>902</v>
      </c>
      <c r="AN19" s="201" t="s">
        <v>901</v>
      </c>
      <c r="AO19" s="201" t="s">
        <v>900</v>
      </c>
      <c r="AP19" s="201" t="s">
        <v>899</v>
      </c>
      <c r="AQ19" s="201" t="s">
        <v>898</v>
      </c>
      <c r="AR19" s="201" t="s">
        <v>897</v>
      </c>
      <c r="AS19" s="201" t="s">
        <v>896</v>
      </c>
      <c r="AT19" s="201" t="s">
        <v>895</v>
      </c>
      <c r="AU19" s="201" t="s">
        <v>894</v>
      </c>
      <c r="AV19" s="201" t="s">
        <v>893</v>
      </c>
      <c r="AW19" s="201" t="s">
        <v>892</v>
      </c>
      <c r="AX19" s="201" t="s">
        <v>891</v>
      </c>
      <c r="AY19" s="201" t="s">
        <v>890</v>
      </c>
      <c r="AZ19" s="201" t="s">
        <v>889</v>
      </c>
      <c r="BA19" s="201" t="s">
        <v>888</v>
      </c>
      <c r="BB19" s="201" t="s">
        <v>887</v>
      </c>
      <c r="BC19" s="201" t="s">
        <v>886</v>
      </c>
      <c r="BD19" s="201" t="s">
        <v>885</v>
      </c>
      <c r="BE19" s="201" t="s">
        <v>884</v>
      </c>
      <c r="BF19" s="201" t="s">
        <v>883</v>
      </c>
      <c r="BG19" s="201" t="s">
        <v>882</v>
      </c>
      <c r="BH19" s="201" t="s">
        <v>881</v>
      </c>
      <c r="BI19" s="201" t="s">
        <v>880</v>
      </c>
      <c r="BJ19" s="201" t="s">
        <v>879</v>
      </c>
      <c r="BK19" s="201" t="s">
        <v>878</v>
      </c>
      <c r="BL19" s="201" t="s">
        <v>877</v>
      </c>
      <c r="BM19" s="201" t="s">
        <v>876</v>
      </c>
      <c r="BN19" s="201" t="s">
        <v>875</v>
      </c>
      <c r="BO19" s="201" t="s">
        <v>874</v>
      </c>
      <c r="BP19" s="201" t="s">
        <v>873</v>
      </c>
      <c r="BQ19" s="201" t="s">
        <v>872</v>
      </c>
      <c r="BR19" s="201" t="s">
        <v>871</v>
      </c>
      <c r="BS19" s="201" t="s">
        <v>870</v>
      </c>
      <c r="BT19" s="201" t="s">
        <v>869</v>
      </c>
      <c r="BU19" s="201" t="s">
        <v>868</v>
      </c>
      <c r="BV19" s="201" t="s">
        <v>867</v>
      </c>
      <c r="BW19" s="201" t="s">
        <v>866</v>
      </c>
      <c r="BX19" s="201" t="s">
        <v>865</v>
      </c>
      <c r="BY19" s="201" t="s">
        <v>864</v>
      </c>
      <c r="BZ19" s="201" t="s">
        <v>863</v>
      </c>
      <c r="CA19" s="201" t="s">
        <v>862</v>
      </c>
      <c r="CB19" s="201" t="s">
        <v>861</v>
      </c>
      <c r="CC19" s="201" t="s">
        <v>860</v>
      </c>
      <c r="CD19" s="201" t="s">
        <v>859</v>
      </c>
      <c r="CE19" s="201" t="s">
        <v>858</v>
      </c>
      <c r="CF19" s="201" t="s">
        <v>857</v>
      </c>
      <c r="CG19" s="201" t="s">
        <v>856</v>
      </c>
      <c r="CH19" s="201" t="s">
        <v>855</v>
      </c>
      <c r="CI19" s="201" t="s">
        <v>854</v>
      </c>
      <c r="CJ19" s="201" t="s">
        <v>853</v>
      </c>
      <c r="CK19" s="201" t="s">
        <v>852</v>
      </c>
      <c r="CL19" s="201" t="s">
        <v>851</v>
      </c>
      <c r="CM19" s="201" t="s">
        <v>850</v>
      </c>
    </row>
    <row r="20" spans="1:91">
      <c r="A20" s="463"/>
      <c r="B20" s="201" t="s">
        <v>849</v>
      </c>
      <c r="C20" s="201" t="s">
        <v>2310</v>
      </c>
      <c r="D20" s="201" t="s">
        <v>2340</v>
      </c>
      <c r="E20" s="201" t="s">
        <v>2370</v>
      </c>
      <c r="F20" s="201" t="s">
        <v>2400</v>
      </c>
      <c r="G20" s="201" t="s">
        <v>2430</v>
      </c>
      <c r="H20" s="201" t="s">
        <v>848</v>
      </c>
      <c r="I20" s="201" t="s">
        <v>847</v>
      </c>
      <c r="J20" s="201" t="s">
        <v>846</v>
      </c>
      <c r="K20" s="201" t="s">
        <v>845</v>
      </c>
      <c r="L20" s="201" t="s">
        <v>844</v>
      </c>
      <c r="M20" s="201" t="s">
        <v>843</v>
      </c>
      <c r="N20" s="201" t="s">
        <v>842</v>
      </c>
      <c r="O20" s="201" t="s">
        <v>841</v>
      </c>
      <c r="P20" s="201" t="s">
        <v>840</v>
      </c>
      <c r="Q20" s="201" t="s">
        <v>839</v>
      </c>
      <c r="R20" s="201" t="s">
        <v>838</v>
      </c>
      <c r="S20" s="201" t="s">
        <v>837</v>
      </c>
      <c r="T20" s="201" t="s">
        <v>836</v>
      </c>
      <c r="U20" s="201" t="s">
        <v>835</v>
      </c>
      <c r="V20" s="201" t="s">
        <v>834</v>
      </c>
      <c r="W20" s="201" t="s">
        <v>833</v>
      </c>
      <c r="X20" s="201" t="s">
        <v>832</v>
      </c>
      <c r="Y20" s="201" t="s">
        <v>831</v>
      </c>
      <c r="Z20" s="201" t="s">
        <v>830</v>
      </c>
      <c r="AA20" s="201" t="s">
        <v>829</v>
      </c>
      <c r="AB20" s="201" t="s">
        <v>828</v>
      </c>
      <c r="AC20" s="201" t="s">
        <v>827</v>
      </c>
      <c r="AD20" s="201" t="s">
        <v>826</v>
      </c>
      <c r="AE20" s="201" t="s">
        <v>825</v>
      </c>
      <c r="AF20" s="201" t="s">
        <v>824</v>
      </c>
      <c r="AG20" s="201" t="s">
        <v>823</v>
      </c>
      <c r="AH20" s="201" t="s">
        <v>822</v>
      </c>
      <c r="AI20" s="201" t="s">
        <v>821</v>
      </c>
      <c r="AJ20" s="201" t="s">
        <v>820</v>
      </c>
      <c r="AK20" s="201" t="s">
        <v>819</v>
      </c>
      <c r="AL20" s="201" t="s">
        <v>818</v>
      </c>
      <c r="AM20" s="201" t="s">
        <v>817</v>
      </c>
      <c r="AN20" s="201" t="s">
        <v>816</v>
      </c>
      <c r="AO20" s="201" t="s">
        <v>815</v>
      </c>
      <c r="AP20" s="201" t="s">
        <v>814</v>
      </c>
      <c r="AQ20" s="201" t="s">
        <v>813</v>
      </c>
      <c r="AR20" s="201" t="s">
        <v>812</v>
      </c>
      <c r="AS20" s="201" t="s">
        <v>811</v>
      </c>
      <c r="AT20" s="201" t="s">
        <v>810</v>
      </c>
      <c r="AU20" s="201" t="s">
        <v>809</v>
      </c>
      <c r="AV20" s="201" t="s">
        <v>808</v>
      </c>
      <c r="AW20" s="201" t="s">
        <v>807</v>
      </c>
      <c r="AX20" s="201" t="s">
        <v>806</v>
      </c>
      <c r="AY20" s="201" t="s">
        <v>805</v>
      </c>
      <c r="AZ20" s="201" t="s">
        <v>804</v>
      </c>
      <c r="BA20" s="201" t="s">
        <v>803</v>
      </c>
      <c r="BB20" s="201" t="s">
        <v>802</v>
      </c>
      <c r="BC20" s="201" t="s">
        <v>801</v>
      </c>
      <c r="BD20" s="201" t="s">
        <v>800</v>
      </c>
      <c r="BE20" s="201" t="s">
        <v>799</v>
      </c>
      <c r="BF20" s="201" t="s">
        <v>798</v>
      </c>
      <c r="BG20" s="201" t="s">
        <v>797</v>
      </c>
      <c r="BH20" s="201" t="s">
        <v>796</v>
      </c>
      <c r="BI20" s="201" t="s">
        <v>795</v>
      </c>
      <c r="BJ20" s="201" t="s">
        <v>794</v>
      </c>
      <c r="BK20" s="201" t="s">
        <v>793</v>
      </c>
      <c r="BL20" s="201" t="s">
        <v>792</v>
      </c>
      <c r="BM20" s="201" t="s">
        <v>791</v>
      </c>
      <c r="BN20" s="201" t="s">
        <v>790</v>
      </c>
      <c r="BO20" s="201" t="s">
        <v>789</v>
      </c>
      <c r="BP20" s="201" t="s">
        <v>788</v>
      </c>
      <c r="BQ20" s="201" t="s">
        <v>787</v>
      </c>
      <c r="BR20" s="201" t="s">
        <v>786</v>
      </c>
      <c r="BS20" s="201" t="s">
        <v>785</v>
      </c>
      <c r="BT20" s="201" t="s">
        <v>784</v>
      </c>
      <c r="BU20" s="201" t="s">
        <v>783</v>
      </c>
      <c r="BV20" s="201" t="s">
        <v>782</v>
      </c>
      <c r="BW20" s="201" t="s">
        <v>781</v>
      </c>
      <c r="BX20" s="201" t="s">
        <v>780</v>
      </c>
      <c r="BY20" s="201" t="s">
        <v>779</v>
      </c>
      <c r="BZ20" s="201" t="s">
        <v>778</v>
      </c>
      <c r="CA20" s="201" t="s">
        <v>777</v>
      </c>
      <c r="CB20" s="201" t="s">
        <v>776</v>
      </c>
      <c r="CC20" s="201" t="s">
        <v>775</v>
      </c>
      <c r="CD20" s="201" t="s">
        <v>774</v>
      </c>
      <c r="CE20" s="201" t="s">
        <v>773</v>
      </c>
      <c r="CF20" s="201" t="s">
        <v>772</v>
      </c>
      <c r="CG20" s="201" t="s">
        <v>771</v>
      </c>
      <c r="CH20" s="201" t="s">
        <v>770</v>
      </c>
      <c r="CI20" s="201" t="s">
        <v>769</v>
      </c>
      <c r="CJ20" s="201" t="s">
        <v>768</v>
      </c>
      <c r="CK20" s="201" t="s">
        <v>767</v>
      </c>
      <c r="CL20" s="201" t="s">
        <v>766</v>
      </c>
      <c r="CM20" s="201" t="s">
        <v>765</v>
      </c>
    </row>
    <row r="21" spans="1:91">
      <c r="A21" s="463"/>
      <c r="B21" s="201" t="s">
        <v>764</v>
      </c>
      <c r="C21" s="201" t="s">
        <v>2311</v>
      </c>
      <c r="D21" s="201" t="s">
        <v>2341</v>
      </c>
      <c r="E21" s="201" t="s">
        <v>2371</v>
      </c>
      <c r="F21" s="201" t="s">
        <v>2401</v>
      </c>
      <c r="G21" s="201" t="s">
        <v>2431</v>
      </c>
      <c r="H21" s="201" t="s">
        <v>763</v>
      </c>
      <c r="I21" s="201" t="s">
        <v>762</v>
      </c>
      <c r="J21" s="201" t="s">
        <v>761</v>
      </c>
      <c r="K21" s="201" t="s">
        <v>760</v>
      </c>
      <c r="L21" s="201" t="s">
        <v>759</v>
      </c>
      <c r="M21" s="201" t="s">
        <v>758</v>
      </c>
      <c r="N21" s="201" t="s">
        <v>757</v>
      </c>
      <c r="O21" s="201" t="s">
        <v>756</v>
      </c>
      <c r="P21" s="201" t="s">
        <v>755</v>
      </c>
      <c r="Q21" s="201" t="s">
        <v>754</v>
      </c>
      <c r="R21" s="201" t="s">
        <v>753</v>
      </c>
      <c r="S21" s="201" t="s">
        <v>752</v>
      </c>
      <c r="T21" s="201" t="s">
        <v>751</v>
      </c>
      <c r="U21" s="201" t="s">
        <v>750</v>
      </c>
      <c r="V21" s="201" t="s">
        <v>749</v>
      </c>
      <c r="W21" s="201" t="s">
        <v>748</v>
      </c>
      <c r="X21" s="201" t="s">
        <v>747</v>
      </c>
      <c r="Y21" s="201" t="s">
        <v>746</v>
      </c>
      <c r="Z21" s="201" t="s">
        <v>745</v>
      </c>
      <c r="AA21" s="201" t="s">
        <v>744</v>
      </c>
      <c r="AB21" s="201" t="s">
        <v>743</v>
      </c>
      <c r="AC21" s="201" t="s">
        <v>742</v>
      </c>
      <c r="AD21" s="201" t="s">
        <v>741</v>
      </c>
      <c r="AE21" s="201" t="s">
        <v>740</v>
      </c>
      <c r="AF21" s="201" t="s">
        <v>739</v>
      </c>
      <c r="AG21" s="201" t="s">
        <v>738</v>
      </c>
      <c r="AH21" s="201" t="s">
        <v>737</v>
      </c>
      <c r="AI21" s="201" t="s">
        <v>736</v>
      </c>
      <c r="AJ21" s="201" t="s">
        <v>735</v>
      </c>
      <c r="AK21" s="201" t="s">
        <v>734</v>
      </c>
      <c r="AL21" s="201" t="s">
        <v>733</v>
      </c>
      <c r="AM21" s="201" t="s">
        <v>732</v>
      </c>
      <c r="AN21" s="201" t="s">
        <v>731</v>
      </c>
      <c r="AO21" s="201" t="s">
        <v>730</v>
      </c>
      <c r="AP21" s="201" t="s">
        <v>729</v>
      </c>
      <c r="AQ21" s="201" t="s">
        <v>728</v>
      </c>
      <c r="AR21" s="201" t="s">
        <v>727</v>
      </c>
      <c r="AS21" s="201" t="s">
        <v>726</v>
      </c>
      <c r="AT21" s="201" t="s">
        <v>725</v>
      </c>
      <c r="AU21" s="201" t="s">
        <v>724</v>
      </c>
      <c r="AV21" s="201" t="s">
        <v>723</v>
      </c>
      <c r="AW21" s="201" t="s">
        <v>722</v>
      </c>
      <c r="AX21" s="201" t="s">
        <v>721</v>
      </c>
      <c r="AY21" s="201" t="s">
        <v>720</v>
      </c>
      <c r="AZ21" s="201" t="s">
        <v>719</v>
      </c>
      <c r="BA21" s="201" t="s">
        <v>718</v>
      </c>
      <c r="BB21" s="201" t="s">
        <v>717</v>
      </c>
      <c r="BC21" s="201" t="s">
        <v>716</v>
      </c>
      <c r="BD21" s="201" t="s">
        <v>715</v>
      </c>
      <c r="BE21" s="201" t="s">
        <v>714</v>
      </c>
      <c r="BF21" s="201" t="s">
        <v>713</v>
      </c>
      <c r="BG21" s="201" t="s">
        <v>712</v>
      </c>
      <c r="BH21" s="201" t="s">
        <v>711</v>
      </c>
      <c r="BI21" s="201" t="s">
        <v>710</v>
      </c>
      <c r="BJ21" s="201" t="s">
        <v>709</v>
      </c>
      <c r="BK21" s="201" t="s">
        <v>708</v>
      </c>
      <c r="BL21" s="201" t="s">
        <v>707</v>
      </c>
      <c r="BM21" s="201" t="s">
        <v>706</v>
      </c>
      <c r="BN21" s="201" t="s">
        <v>705</v>
      </c>
      <c r="BO21" s="201" t="s">
        <v>704</v>
      </c>
      <c r="BP21" s="201" t="s">
        <v>703</v>
      </c>
      <c r="BQ21" s="201" t="s">
        <v>702</v>
      </c>
      <c r="BR21" s="201" t="s">
        <v>701</v>
      </c>
      <c r="BS21" s="201" t="s">
        <v>700</v>
      </c>
      <c r="BT21" s="201" t="s">
        <v>699</v>
      </c>
      <c r="BU21" s="201" t="s">
        <v>698</v>
      </c>
      <c r="BV21" s="201" t="s">
        <v>697</v>
      </c>
      <c r="BW21" s="201" t="s">
        <v>696</v>
      </c>
      <c r="BX21" s="201" t="s">
        <v>695</v>
      </c>
      <c r="BY21" s="201" t="s">
        <v>694</v>
      </c>
      <c r="BZ21" s="201" t="s">
        <v>693</v>
      </c>
      <c r="CA21" s="201" t="s">
        <v>692</v>
      </c>
      <c r="CB21" s="201" t="s">
        <v>691</v>
      </c>
      <c r="CC21" s="201" t="s">
        <v>690</v>
      </c>
      <c r="CD21" s="201" t="s">
        <v>689</v>
      </c>
      <c r="CE21" s="201" t="s">
        <v>688</v>
      </c>
      <c r="CF21" s="201" t="s">
        <v>687</v>
      </c>
      <c r="CG21" s="201" t="s">
        <v>686</v>
      </c>
      <c r="CH21" s="201" t="s">
        <v>685</v>
      </c>
      <c r="CI21" s="201" t="s">
        <v>684</v>
      </c>
      <c r="CJ21" s="201" t="s">
        <v>683</v>
      </c>
      <c r="CK21" s="201" t="s">
        <v>682</v>
      </c>
      <c r="CL21" s="201" t="s">
        <v>681</v>
      </c>
      <c r="CM21" s="201" t="s">
        <v>680</v>
      </c>
    </row>
    <row r="22" spans="1:91">
      <c r="A22" s="242"/>
      <c r="B22" s="201" t="s">
        <v>679</v>
      </c>
      <c r="C22" s="201" t="s">
        <v>2312</v>
      </c>
      <c r="D22" s="201" t="s">
        <v>2342</v>
      </c>
      <c r="E22" s="201" t="s">
        <v>2372</v>
      </c>
      <c r="F22" s="201" t="s">
        <v>2402</v>
      </c>
      <c r="G22" s="201" t="s">
        <v>2432</v>
      </c>
      <c r="H22" s="201" t="s">
        <v>678</v>
      </c>
      <c r="I22" s="201" t="s">
        <v>677</v>
      </c>
      <c r="J22" s="201" t="s">
        <v>676</v>
      </c>
      <c r="K22" s="201" t="s">
        <v>675</v>
      </c>
      <c r="L22" s="201" t="s">
        <v>674</v>
      </c>
      <c r="M22" s="201" t="s">
        <v>673</v>
      </c>
      <c r="N22" s="201" t="s">
        <v>672</v>
      </c>
      <c r="O22" s="201" t="s">
        <v>671</v>
      </c>
      <c r="P22" s="201" t="s">
        <v>670</v>
      </c>
      <c r="Q22" s="201" t="s">
        <v>669</v>
      </c>
      <c r="R22" s="201" t="s">
        <v>668</v>
      </c>
      <c r="S22" s="201" t="s">
        <v>667</v>
      </c>
      <c r="T22" s="201" t="s">
        <v>666</v>
      </c>
      <c r="U22" s="201" t="s">
        <v>665</v>
      </c>
      <c r="V22" s="201" t="s">
        <v>664</v>
      </c>
      <c r="W22" s="201" t="s">
        <v>663</v>
      </c>
      <c r="X22" s="201" t="s">
        <v>662</v>
      </c>
      <c r="Y22" s="201" t="s">
        <v>661</v>
      </c>
      <c r="Z22" s="201" t="s">
        <v>660</v>
      </c>
      <c r="AA22" s="201" t="s">
        <v>659</v>
      </c>
      <c r="AB22" s="201" t="s">
        <v>658</v>
      </c>
      <c r="AC22" s="201" t="s">
        <v>657</v>
      </c>
      <c r="AD22" s="201" t="s">
        <v>656</v>
      </c>
      <c r="AE22" s="201" t="s">
        <v>655</v>
      </c>
      <c r="AF22" s="201" t="s">
        <v>654</v>
      </c>
      <c r="AG22" s="201" t="s">
        <v>653</v>
      </c>
      <c r="AH22" s="201" t="s">
        <v>652</v>
      </c>
      <c r="AI22" s="201" t="s">
        <v>651</v>
      </c>
      <c r="AJ22" s="201" t="s">
        <v>650</v>
      </c>
      <c r="AK22" s="201" t="s">
        <v>649</v>
      </c>
      <c r="AL22" s="201" t="s">
        <v>648</v>
      </c>
      <c r="AM22" s="201" t="s">
        <v>647</v>
      </c>
      <c r="AN22" s="201" t="s">
        <v>646</v>
      </c>
      <c r="AO22" s="201" t="s">
        <v>645</v>
      </c>
      <c r="AP22" s="201" t="s">
        <v>644</v>
      </c>
      <c r="AQ22" s="201" t="s">
        <v>643</v>
      </c>
      <c r="AR22" s="201" t="s">
        <v>642</v>
      </c>
      <c r="AS22" s="201" t="s">
        <v>641</v>
      </c>
      <c r="AT22" s="201" t="s">
        <v>640</v>
      </c>
      <c r="AU22" s="201" t="s">
        <v>639</v>
      </c>
      <c r="AV22" s="201" t="s">
        <v>638</v>
      </c>
      <c r="AW22" s="201" t="s">
        <v>637</v>
      </c>
      <c r="AX22" s="201" t="s">
        <v>636</v>
      </c>
      <c r="AY22" s="201" t="s">
        <v>635</v>
      </c>
      <c r="AZ22" s="201" t="s">
        <v>634</v>
      </c>
      <c r="BA22" s="201" t="s">
        <v>633</v>
      </c>
      <c r="BB22" s="201" t="s">
        <v>632</v>
      </c>
      <c r="BC22" s="201" t="s">
        <v>631</v>
      </c>
      <c r="BD22" s="201" t="s">
        <v>630</v>
      </c>
      <c r="BE22" s="201" t="s">
        <v>629</v>
      </c>
      <c r="BF22" s="201" t="s">
        <v>628</v>
      </c>
      <c r="BG22" s="201" t="s">
        <v>627</v>
      </c>
      <c r="BH22" s="201" t="s">
        <v>626</v>
      </c>
      <c r="BI22" s="201" t="s">
        <v>625</v>
      </c>
      <c r="BJ22" s="201" t="s">
        <v>624</v>
      </c>
      <c r="BK22" s="201" t="s">
        <v>623</v>
      </c>
      <c r="BL22" s="201" t="s">
        <v>622</v>
      </c>
      <c r="BM22" s="201" t="s">
        <v>621</v>
      </c>
      <c r="BN22" s="201" t="s">
        <v>620</v>
      </c>
      <c r="BO22" s="201" t="s">
        <v>619</v>
      </c>
      <c r="BP22" s="201" t="s">
        <v>618</v>
      </c>
      <c r="BQ22" s="201" t="s">
        <v>617</v>
      </c>
      <c r="BR22" s="201" t="s">
        <v>616</v>
      </c>
      <c r="BS22" s="201" t="s">
        <v>615</v>
      </c>
      <c r="BT22" s="201" t="s">
        <v>614</v>
      </c>
      <c r="BU22" s="201" t="s">
        <v>613</v>
      </c>
      <c r="BV22" s="201" t="s">
        <v>612</v>
      </c>
      <c r="BW22" s="201" t="s">
        <v>611</v>
      </c>
      <c r="BX22" s="201" t="s">
        <v>610</v>
      </c>
      <c r="BY22" s="201" t="s">
        <v>609</v>
      </c>
      <c r="BZ22" s="201" t="s">
        <v>608</v>
      </c>
      <c r="CA22" s="201" t="s">
        <v>607</v>
      </c>
      <c r="CB22" s="201" t="s">
        <v>606</v>
      </c>
      <c r="CC22" s="201" t="s">
        <v>605</v>
      </c>
      <c r="CD22" s="201" t="s">
        <v>604</v>
      </c>
      <c r="CE22" s="201" t="s">
        <v>603</v>
      </c>
      <c r="CF22" s="201" t="s">
        <v>602</v>
      </c>
      <c r="CG22" s="201" t="s">
        <v>601</v>
      </c>
      <c r="CH22" s="201" t="s">
        <v>600</v>
      </c>
      <c r="CI22" s="201" t="s">
        <v>599</v>
      </c>
      <c r="CJ22" s="201" t="s">
        <v>598</v>
      </c>
      <c r="CK22" s="201" t="s">
        <v>597</v>
      </c>
      <c r="CL22" s="201" t="s">
        <v>596</v>
      </c>
      <c r="CM22" s="201" t="s">
        <v>595</v>
      </c>
    </row>
    <row r="23" spans="1:91">
      <c r="A23" s="242"/>
      <c r="B23" s="201" t="s">
        <v>594</v>
      </c>
      <c r="C23" s="201" t="s">
        <v>2313</v>
      </c>
      <c r="D23" s="201" t="s">
        <v>2343</v>
      </c>
      <c r="E23" s="201" t="s">
        <v>2373</v>
      </c>
      <c r="F23" s="201" t="s">
        <v>2403</v>
      </c>
      <c r="G23" s="201" t="s">
        <v>2433</v>
      </c>
      <c r="H23" s="201" t="s">
        <v>592</v>
      </c>
      <c r="I23" s="201" t="s">
        <v>591</v>
      </c>
      <c r="J23" s="201" t="s">
        <v>590</v>
      </c>
      <c r="K23" s="201" t="s">
        <v>589</v>
      </c>
      <c r="L23" s="201" t="s">
        <v>588</v>
      </c>
      <c r="M23" s="201" t="s">
        <v>587</v>
      </c>
      <c r="N23" s="201" t="s">
        <v>586</v>
      </c>
      <c r="O23" s="201" t="s">
        <v>585</v>
      </c>
      <c r="P23" s="201" t="s">
        <v>584</v>
      </c>
      <c r="Q23" s="201" t="s">
        <v>583</v>
      </c>
      <c r="R23" s="201" t="s">
        <v>582</v>
      </c>
      <c r="S23" s="201" t="s">
        <v>581</v>
      </c>
      <c r="T23" s="201" t="s">
        <v>580</v>
      </c>
      <c r="U23" s="201" t="s">
        <v>579</v>
      </c>
      <c r="V23" s="201" t="s">
        <v>578</v>
      </c>
      <c r="W23" s="201" t="s">
        <v>577</v>
      </c>
      <c r="X23" s="201" t="s">
        <v>576</v>
      </c>
      <c r="Y23" s="201" t="s">
        <v>575</v>
      </c>
      <c r="Z23" s="201" t="s">
        <v>574</v>
      </c>
      <c r="AA23" s="201" t="s">
        <v>573</v>
      </c>
      <c r="AB23" s="201" t="s">
        <v>572</v>
      </c>
      <c r="AC23" s="201" t="s">
        <v>571</v>
      </c>
      <c r="AD23" s="201" t="s">
        <v>570</v>
      </c>
      <c r="AE23" s="201" t="s">
        <v>569</v>
      </c>
      <c r="AF23" s="201" t="s">
        <v>568</v>
      </c>
      <c r="AG23" s="201" t="s">
        <v>567</v>
      </c>
      <c r="AH23" s="201" t="s">
        <v>566</v>
      </c>
      <c r="AI23" s="201" t="s">
        <v>565</v>
      </c>
      <c r="AJ23" s="201" t="s">
        <v>564</v>
      </c>
      <c r="AK23" s="201" t="s">
        <v>563</v>
      </c>
      <c r="AL23" s="201" t="s">
        <v>562</v>
      </c>
      <c r="AM23" s="201" t="s">
        <v>561</v>
      </c>
      <c r="AN23" s="201" t="s">
        <v>560</v>
      </c>
      <c r="AO23" s="201" t="s">
        <v>559</v>
      </c>
      <c r="AP23" s="201" t="s">
        <v>558</v>
      </c>
      <c r="AQ23" s="201" t="s">
        <v>557</v>
      </c>
      <c r="AR23" s="201" t="s">
        <v>556</v>
      </c>
      <c r="AS23" s="201" t="s">
        <v>555</v>
      </c>
      <c r="AT23" s="201" t="s">
        <v>554</v>
      </c>
      <c r="AU23" s="201" t="s">
        <v>553</v>
      </c>
      <c r="AV23" s="201" t="s">
        <v>552</v>
      </c>
      <c r="AW23" s="201" t="s">
        <v>551</v>
      </c>
      <c r="AX23" s="201" t="s">
        <v>550</v>
      </c>
      <c r="AY23" s="201" t="s">
        <v>549</v>
      </c>
      <c r="AZ23" s="201" t="s">
        <v>548</v>
      </c>
      <c r="BA23" s="201" t="s">
        <v>547</v>
      </c>
      <c r="BB23" s="201" t="s">
        <v>546</v>
      </c>
      <c r="BC23" s="201" t="s">
        <v>545</v>
      </c>
      <c r="BD23" s="201" t="s">
        <v>544</v>
      </c>
      <c r="BE23" s="201" t="s">
        <v>543</v>
      </c>
      <c r="BF23" s="201" t="s">
        <v>542</v>
      </c>
      <c r="BG23" s="201" t="s">
        <v>541</v>
      </c>
      <c r="BH23" s="201" t="s">
        <v>540</v>
      </c>
      <c r="BI23" s="201" t="s">
        <v>539</v>
      </c>
      <c r="BJ23" s="201" t="s">
        <v>538</v>
      </c>
      <c r="BK23" s="201" t="s">
        <v>537</v>
      </c>
      <c r="BL23" s="201" t="s">
        <v>536</v>
      </c>
      <c r="BM23" s="201" t="s">
        <v>535</v>
      </c>
      <c r="BN23" s="201" t="s">
        <v>534</v>
      </c>
      <c r="BO23" s="201" t="s">
        <v>533</v>
      </c>
      <c r="BP23" s="201" t="s">
        <v>532</v>
      </c>
      <c r="BQ23" s="201" t="s">
        <v>531</v>
      </c>
      <c r="BR23" s="201" t="s">
        <v>530</v>
      </c>
      <c r="BS23" s="201" t="s">
        <v>529</v>
      </c>
      <c r="BT23" s="201" t="s">
        <v>528</v>
      </c>
      <c r="BU23" s="201" t="s">
        <v>527</v>
      </c>
      <c r="BV23" s="201" t="s">
        <v>526</v>
      </c>
      <c r="BW23" s="201" t="s">
        <v>525</v>
      </c>
      <c r="BX23" s="201" t="s">
        <v>524</v>
      </c>
      <c r="BY23" s="201" t="s">
        <v>523</v>
      </c>
      <c r="BZ23" s="201" t="s">
        <v>522</v>
      </c>
      <c r="CA23" s="201" t="s">
        <v>521</v>
      </c>
      <c r="CB23" s="201" t="s">
        <v>520</v>
      </c>
      <c r="CC23" s="201" t="s">
        <v>519</v>
      </c>
      <c r="CD23" s="201" t="s">
        <v>518</v>
      </c>
      <c r="CE23" s="201" t="s">
        <v>517</v>
      </c>
      <c r="CF23" s="201" t="s">
        <v>516</v>
      </c>
      <c r="CG23" s="201" t="s">
        <v>515</v>
      </c>
      <c r="CH23" s="201" t="s">
        <v>514</v>
      </c>
      <c r="CI23" s="201" t="s">
        <v>513</v>
      </c>
      <c r="CJ23" s="201" t="s">
        <v>512</v>
      </c>
      <c r="CK23" s="201" t="s">
        <v>511</v>
      </c>
      <c r="CL23" s="201" t="s">
        <v>510</v>
      </c>
      <c r="CM23" s="201" t="s">
        <v>509</v>
      </c>
    </row>
    <row r="24" spans="1:91">
      <c r="A24" s="202"/>
      <c r="B24" s="201" t="s">
        <v>508</v>
      </c>
      <c r="C24" s="201" t="s">
        <v>2314</v>
      </c>
      <c r="D24" s="201" t="s">
        <v>2344</v>
      </c>
      <c r="E24" s="201" t="s">
        <v>2374</v>
      </c>
      <c r="F24" s="201" t="s">
        <v>2404</v>
      </c>
      <c r="G24" s="201" t="s">
        <v>2434</v>
      </c>
      <c r="H24" s="201" t="s">
        <v>506</v>
      </c>
      <c r="I24" s="201" t="s">
        <v>505</v>
      </c>
      <c r="J24" s="201" t="s">
        <v>504</v>
      </c>
      <c r="K24" s="201" t="s">
        <v>503</v>
      </c>
      <c r="L24" s="201" t="s">
        <v>502</v>
      </c>
      <c r="M24" s="201" t="s">
        <v>501</v>
      </c>
      <c r="N24" s="201" t="s">
        <v>500</v>
      </c>
      <c r="O24" s="201" t="s">
        <v>499</v>
      </c>
      <c r="P24" s="201" t="s">
        <v>498</v>
      </c>
      <c r="Q24" s="201" t="s">
        <v>497</v>
      </c>
      <c r="R24" s="201" t="s">
        <v>496</v>
      </c>
      <c r="S24" s="201" t="s">
        <v>495</v>
      </c>
      <c r="T24" s="201" t="s">
        <v>494</v>
      </c>
      <c r="U24" s="201" t="s">
        <v>493</v>
      </c>
      <c r="V24" s="201" t="s">
        <v>492</v>
      </c>
      <c r="W24" s="201" t="s">
        <v>491</v>
      </c>
      <c r="X24" s="201" t="s">
        <v>490</v>
      </c>
      <c r="Y24" s="201" t="s">
        <v>489</v>
      </c>
      <c r="Z24" s="201" t="s">
        <v>488</v>
      </c>
      <c r="AA24" s="201" t="s">
        <v>487</v>
      </c>
      <c r="AB24" s="201" t="s">
        <v>486</v>
      </c>
      <c r="AC24" s="201" t="s">
        <v>485</v>
      </c>
      <c r="AD24" s="201" t="s">
        <v>484</v>
      </c>
      <c r="AE24" s="201" t="s">
        <v>483</v>
      </c>
      <c r="AF24" s="201" t="s">
        <v>482</v>
      </c>
      <c r="AG24" s="201" t="s">
        <v>481</v>
      </c>
      <c r="AH24" s="201" t="s">
        <v>480</v>
      </c>
      <c r="AI24" s="201" t="s">
        <v>479</v>
      </c>
      <c r="AJ24" s="201" t="s">
        <v>478</v>
      </c>
      <c r="AK24" s="201" t="s">
        <v>477</v>
      </c>
      <c r="AL24" s="201" t="s">
        <v>476</v>
      </c>
      <c r="AM24" s="201" t="s">
        <v>475</v>
      </c>
      <c r="AN24" s="201" t="s">
        <v>474</v>
      </c>
      <c r="AO24" s="201" t="s">
        <v>473</v>
      </c>
      <c r="AP24" s="201" t="s">
        <v>472</v>
      </c>
      <c r="AQ24" s="201" t="s">
        <v>471</v>
      </c>
      <c r="AR24" s="201" t="s">
        <v>470</v>
      </c>
      <c r="AS24" s="201" t="s">
        <v>469</v>
      </c>
      <c r="AT24" s="201" t="s">
        <v>468</v>
      </c>
      <c r="AU24" s="201" t="s">
        <v>467</v>
      </c>
      <c r="AV24" s="201" t="s">
        <v>466</v>
      </c>
      <c r="AW24" s="201" t="s">
        <v>465</v>
      </c>
      <c r="AX24" s="201" t="s">
        <v>464</v>
      </c>
      <c r="AY24" s="201" t="s">
        <v>463</v>
      </c>
      <c r="AZ24" s="201" t="s">
        <v>462</v>
      </c>
      <c r="BA24" s="201" t="s">
        <v>461</v>
      </c>
      <c r="BB24" s="201" t="s">
        <v>460</v>
      </c>
      <c r="BC24" s="201" t="s">
        <v>459</v>
      </c>
      <c r="BD24" s="201" t="s">
        <v>458</v>
      </c>
      <c r="BE24" s="201" t="s">
        <v>457</v>
      </c>
      <c r="BF24" s="201" t="s">
        <v>456</v>
      </c>
      <c r="BG24" s="201" t="s">
        <v>455</v>
      </c>
      <c r="BH24" s="201" t="s">
        <v>454</v>
      </c>
      <c r="BI24" s="201" t="s">
        <v>453</v>
      </c>
      <c r="BJ24" s="201" t="s">
        <v>452</v>
      </c>
      <c r="BK24" s="201" t="s">
        <v>451</v>
      </c>
      <c r="BL24" s="201" t="s">
        <v>450</v>
      </c>
      <c r="BM24" s="201" t="s">
        <v>449</v>
      </c>
      <c r="BN24" s="201" t="s">
        <v>448</v>
      </c>
      <c r="BO24" s="201" t="s">
        <v>447</v>
      </c>
      <c r="BP24" s="201" t="s">
        <v>446</v>
      </c>
      <c r="BQ24" s="201" t="s">
        <v>445</v>
      </c>
      <c r="BR24" s="201" t="s">
        <v>444</v>
      </c>
      <c r="BS24" s="201" t="s">
        <v>443</v>
      </c>
      <c r="BT24" s="201" t="s">
        <v>442</v>
      </c>
      <c r="BU24" s="201" t="s">
        <v>441</v>
      </c>
      <c r="BV24" s="201" t="s">
        <v>440</v>
      </c>
      <c r="BW24" s="201" t="s">
        <v>439</v>
      </c>
      <c r="BX24" s="201" t="s">
        <v>438</v>
      </c>
      <c r="BY24" s="201" t="s">
        <v>437</v>
      </c>
      <c r="BZ24" s="201" t="s">
        <v>436</v>
      </c>
      <c r="CA24" s="201" t="s">
        <v>435</v>
      </c>
      <c r="CB24" s="201" t="s">
        <v>434</v>
      </c>
      <c r="CC24" s="201" t="s">
        <v>433</v>
      </c>
      <c r="CD24" s="201" t="s">
        <v>432</v>
      </c>
      <c r="CE24" s="201" t="s">
        <v>431</v>
      </c>
      <c r="CF24" s="201" t="s">
        <v>430</v>
      </c>
      <c r="CG24" s="201" t="s">
        <v>429</v>
      </c>
      <c r="CH24" s="201" t="s">
        <v>428</v>
      </c>
      <c r="CI24" s="201" t="s">
        <v>427</v>
      </c>
      <c r="CJ24" s="201" t="s">
        <v>426</v>
      </c>
      <c r="CK24" s="201" t="s">
        <v>425</v>
      </c>
      <c r="CL24" s="201" t="s">
        <v>424</v>
      </c>
      <c r="CM24" s="201" t="s">
        <v>423</v>
      </c>
    </row>
    <row r="25" spans="1:91">
      <c r="A25" s="202"/>
      <c r="B25" s="201" t="s">
        <v>422</v>
      </c>
      <c r="C25" s="201" t="s">
        <v>2315</v>
      </c>
      <c r="D25" s="201" t="s">
        <v>2345</v>
      </c>
      <c r="E25" s="201" t="s">
        <v>2375</v>
      </c>
      <c r="F25" s="201" t="s">
        <v>2405</v>
      </c>
      <c r="G25" s="201" t="s">
        <v>2435</v>
      </c>
      <c r="H25" s="201" t="s">
        <v>420</v>
      </c>
      <c r="I25" s="201" t="s">
        <v>419</v>
      </c>
      <c r="J25" s="201" t="s">
        <v>418</v>
      </c>
      <c r="K25" s="201" t="s">
        <v>417</v>
      </c>
      <c r="L25" s="201" t="s">
        <v>416</v>
      </c>
      <c r="M25" s="201" t="s">
        <v>415</v>
      </c>
      <c r="N25" s="201" t="s">
        <v>414</v>
      </c>
      <c r="O25" s="201" t="s">
        <v>413</v>
      </c>
      <c r="P25" s="201" t="s">
        <v>412</v>
      </c>
      <c r="Q25" s="201" t="s">
        <v>411</v>
      </c>
      <c r="R25" s="201" t="s">
        <v>410</v>
      </c>
      <c r="S25" s="201" t="s">
        <v>409</v>
      </c>
      <c r="T25" s="201" t="s">
        <v>408</v>
      </c>
      <c r="U25" s="201" t="s">
        <v>407</v>
      </c>
      <c r="V25" s="201" t="s">
        <v>406</v>
      </c>
      <c r="W25" s="201" t="s">
        <v>405</v>
      </c>
      <c r="X25" s="201" t="s">
        <v>404</v>
      </c>
      <c r="Y25" s="201" t="s">
        <v>403</v>
      </c>
      <c r="Z25" s="201" t="s">
        <v>402</v>
      </c>
      <c r="AA25" s="201" t="s">
        <v>401</v>
      </c>
      <c r="AB25" s="201" t="s">
        <v>400</v>
      </c>
      <c r="AC25" s="201" t="s">
        <v>399</v>
      </c>
      <c r="AD25" s="201" t="s">
        <v>398</v>
      </c>
      <c r="AE25" s="201" t="s">
        <v>397</v>
      </c>
      <c r="AF25" s="201" t="s">
        <v>396</v>
      </c>
      <c r="AG25" s="201" t="s">
        <v>395</v>
      </c>
      <c r="AH25" s="201" t="s">
        <v>394</v>
      </c>
      <c r="AI25" s="201" t="s">
        <v>393</v>
      </c>
      <c r="AJ25" s="201" t="s">
        <v>392</v>
      </c>
      <c r="AK25" s="201" t="s">
        <v>391</v>
      </c>
      <c r="AL25" s="201" t="s">
        <v>390</v>
      </c>
      <c r="AM25" s="201" t="s">
        <v>389</v>
      </c>
      <c r="AN25" s="201" t="s">
        <v>388</v>
      </c>
      <c r="AO25" s="201" t="s">
        <v>387</v>
      </c>
      <c r="AP25" s="201" t="s">
        <v>386</v>
      </c>
      <c r="AQ25" s="201" t="s">
        <v>385</v>
      </c>
      <c r="AR25" s="201" t="s">
        <v>384</v>
      </c>
      <c r="AS25" s="201" t="s">
        <v>383</v>
      </c>
      <c r="AT25" s="201" t="s">
        <v>382</v>
      </c>
      <c r="AU25" s="201" t="s">
        <v>381</v>
      </c>
      <c r="AV25" s="201" t="s">
        <v>380</v>
      </c>
      <c r="AW25" s="201" t="s">
        <v>379</v>
      </c>
      <c r="AX25" s="201" t="s">
        <v>378</v>
      </c>
      <c r="AY25" s="201" t="s">
        <v>377</v>
      </c>
      <c r="AZ25" s="201" t="s">
        <v>376</v>
      </c>
      <c r="BA25" s="201" t="s">
        <v>375</v>
      </c>
      <c r="BB25" s="201" t="s">
        <v>374</v>
      </c>
      <c r="BC25" s="201" t="s">
        <v>373</v>
      </c>
      <c r="BD25" s="201" t="s">
        <v>372</v>
      </c>
      <c r="BE25" s="201" t="s">
        <v>371</v>
      </c>
      <c r="BF25" s="201" t="s">
        <v>370</v>
      </c>
      <c r="BG25" s="201" t="s">
        <v>369</v>
      </c>
      <c r="BH25" s="201" t="s">
        <v>368</v>
      </c>
      <c r="BI25" s="201" t="s">
        <v>367</v>
      </c>
      <c r="BJ25" s="201" t="s">
        <v>366</v>
      </c>
      <c r="BK25" s="201" t="s">
        <v>365</v>
      </c>
      <c r="BL25" s="201" t="s">
        <v>364</v>
      </c>
      <c r="BM25" s="201" t="s">
        <v>363</v>
      </c>
      <c r="BN25" s="201" t="s">
        <v>362</v>
      </c>
      <c r="BO25" s="201" t="s">
        <v>361</v>
      </c>
      <c r="BP25" s="201" t="s">
        <v>360</v>
      </c>
      <c r="BQ25" s="201" t="s">
        <v>359</v>
      </c>
      <c r="BR25" s="201" t="s">
        <v>358</v>
      </c>
      <c r="BS25" s="201" t="s">
        <v>357</v>
      </c>
      <c r="BT25" s="201" t="s">
        <v>356</v>
      </c>
      <c r="BU25" s="201" t="s">
        <v>355</v>
      </c>
      <c r="BV25" s="201" t="s">
        <v>354</v>
      </c>
      <c r="BW25" s="201" t="s">
        <v>353</v>
      </c>
      <c r="BX25" s="201" t="s">
        <v>352</v>
      </c>
      <c r="BY25" s="201" t="s">
        <v>351</v>
      </c>
      <c r="BZ25" s="201" t="s">
        <v>350</v>
      </c>
      <c r="CA25" s="201" t="s">
        <v>349</v>
      </c>
      <c r="CB25" s="201" t="s">
        <v>348</v>
      </c>
      <c r="CC25" s="201" t="s">
        <v>347</v>
      </c>
      <c r="CD25" s="201" t="s">
        <v>346</v>
      </c>
      <c r="CE25" s="201" t="s">
        <v>345</v>
      </c>
      <c r="CF25" s="201" t="s">
        <v>344</v>
      </c>
      <c r="CG25" s="201" t="s">
        <v>343</v>
      </c>
      <c r="CH25" s="201" t="s">
        <v>342</v>
      </c>
      <c r="CI25" s="201" t="s">
        <v>341</v>
      </c>
      <c r="CJ25" s="201" t="s">
        <v>340</v>
      </c>
      <c r="CK25" s="201" t="s">
        <v>339</v>
      </c>
      <c r="CL25" s="201" t="s">
        <v>338</v>
      </c>
      <c r="CM25" s="201" t="s">
        <v>337</v>
      </c>
    </row>
    <row r="26" spans="1:91">
      <c r="A26" s="202"/>
      <c r="B26" s="201" t="s">
        <v>336</v>
      </c>
      <c r="C26" s="201" t="s">
        <v>2316</v>
      </c>
      <c r="D26" s="201" t="s">
        <v>2346</v>
      </c>
      <c r="E26" s="201" t="s">
        <v>2376</v>
      </c>
      <c r="F26" s="201" t="s">
        <v>2406</v>
      </c>
      <c r="G26" s="201" t="s">
        <v>2436</v>
      </c>
      <c r="H26" s="201" t="s">
        <v>334</v>
      </c>
      <c r="I26" s="201" t="s">
        <v>333</v>
      </c>
      <c r="J26" s="201" t="s">
        <v>332</v>
      </c>
      <c r="K26" s="201" t="s">
        <v>331</v>
      </c>
      <c r="L26" s="201" t="s">
        <v>330</v>
      </c>
      <c r="M26" s="201" t="s">
        <v>329</v>
      </c>
      <c r="N26" s="201" t="s">
        <v>328</v>
      </c>
      <c r="O26" s="201" t="s">
        <v>327</v>
      </c>
      <c r="P26" s="201" t="s">
        <v>326</v>
      </c>
      <c r="Q26" s="201" t="s">
        <v>325</v>
      </c>
      <c r="R26" s="201" t="s">
        <v>324</v>
      </c>
      <c r="S26" s="201" t="s">
        <v>323</v>
      </c>
      <c r="T26" s="201" t="s">
        <v>322</v>
      </c>
      <c r="U26" s="201" t="s">
        <v>321</v>
      </c>
      <c r="V26" s="201" t="s">
        <v>320</v>
      </c>
      <c r="W26" s="201" t="s">
        <v>319</v>
      </c>
      <c r="X26" s="201" t="s">
        <v>318</v>
      </c>
      <c r="Y26" s="201" t="s">
        <v>317</v>
      </c>
      <c r="Z26" s="201" t="s">
        <v>316</v>
      </c>
      <c r="AA26" s="201" t="s">
        <v>315</v>
      </c>
      <c r="AB26" s="201" t="s">
        <v>314</v>
      </c>
      <c r="AC26" s="201" t="s">
        <v>313</v>
      </c>
      <c r="AD26" s="201" t="s">
        <v>312</v>
      </c>
      <c r="AE26" s="201" t="s">
        <v>311</v>
      </c>
      <c r="AF26" s="201" t="s">
        <v>310</v>
      </c>
      <c r="AG26" s="201" t="s">
        <v>309</v>
      </c>
      <c r="AH26" s="201" t="s">
        <v>308</v>
      </c>
      <c r="AI26" s="201" t="s">
        <v>307</v>
      </c>
      <c r="AJ26" s="201" t="s">
        <v>306</v>
      </c>
      <c r="AK26" s="201" t="s">
        <v>305</v>
      </c>
      <c r="AL26" s="201" t="s">
        <v>304</v>
      </c>
      <c r="AM26" s="201" t="s">
        <v>303</v>
      </c>
      <c r="AN26" s="201" t="s">
        <v>302</v>
      </c>
      <c r="AO26" s="201" t="s">
        <v>301</v>
      </c>
      <c r="AP26" s="201" t="s">
        <v>300</v>
      </c>
      <c r="AQ26" s="201" t="s">
        <v>299</v>
      </c>
      <c r="AR26" s="201" t="s">
        <v>298</v>
      </c>
      <c r="AS26" s="201" t="s">
        <v>297</v>
      </c>
      <c r="AT26" s="201" t="s">
        <v>296</v>
      </c>
      <c r="AU26" s="201" t="s">
        <v>295</v>
      </c>
      <c r="AV26" s="201" t="s">
        <v>294</v>
      </c>
      <c r="AW26" s="201" t="s">
        <v>293</v>
      </c>
      <c r="AX26" s="201" t="s">
        <v>292</v>
      </c>
      <c r="AY26" s="201" t="s">
        <v>291</v>
      </c>
      <c r="AZ26" s="201" t="s">
        <v>290</v>
      </c>
      <c r="BA26" s="201" t="s">
        <v>289</v>
      </c>
      <c r="BB26" s="201" t="s">
        <v>288</v>
      </c>
      <c r="BC26" s="201" t="s">
        <v>287</v>
      </c>
      <c r="BD26" s="201" t="s">
        <v>286</v>
      </c>
      <c r="BE26" s="201" t="s">
        <v>285</v>
      </c>
      <c r="BF26" s="201" t="s">
        <v>284</v>
      </c>
      <c r="BG26" s="201" t="s">
        <v>283</v>
      </c>
      <c r="BH26" s="201" t="s">
        <v>282</v>
      </c>
      <c r="BI26" s="201" t="s">
        <v>281</v>
      </c>
      <c r="BJ26" s="201" t="s">
        <v>280</v>
      </c>
      <c r="BK26" s="201" t="s">
        <v>279</v>
      </c>
      <c r="BL26" s="201" t="s">
        <v>278</v>
      </c>
      <c r="BM26" s="201" t="s">
        <v>277</v>
      </c>
      <c r="BN26" s="201" t="s">
        <v>276</v>
      </c>
      <c r="BO26" s="201" t="s">
        <v>275</v>
      </c>
      <c r="BP26" s="201" t="s">
        <v>274</v>
      </c>
      <c r="BQ26" s="201" t="s">
        <v>273</v>
      </c>
      <c r="BR26" s="201" t="s">
        <v>272</v>
      </c>
      <c r="BS26" s="201" t="s">
        <v>271</v>
      </c>
      <c r="BT26" s="201" t="s">
        <v>270</v>
      </c>
      <c r="BU26" s="201" t="s">
        <v>269</v>
      </c>
      <c r="BV26" s="201" t="s">
        <v>268</v>
      </c>
      <c r="BW26" s="201" t="s">
        <v>267</v>
      </c>
      <c r="BX26" s="201" t="s">
        <v>266</v>
      </c>
      <c r="BY26" s="201" t="s">
        <v>265</v>
      </c>
      <c r="BZ26" s="201" t="s">
        <v>264</v>
      </c>
      <c r="CA26" s="201" t="s">
        <v>263</v>
      </c>
      <c r="CB26" s="201" t="s">
        <v>262</v>
      </c>
      <c r="CC26" s="201" t="s">
        <v>261</v>
      </c>
      <c r="CD26" s="201" t="s">
        <v>260</v>
      </c>
      <c r="CE26" s="201" t="s">
        <v>259</v>
      </c>
      <c r="CF26" s="201" t="s">
        <v>258</v>
      </c>
      <c r="CG26" s="201" t="s">
        <v>257</v>
      </c>
      <c r="CH26" s="201" t="s">
        <v>256</v>
      </c>
      <c r="CI26" s="201" t="s">
        <v>255</v>
      </c>
      <c r="CJ26" s="201" t="s">
        <v>254</v>
      </c>
      <c r="CK26" s="201" t="s">
        <v>253</v>
      </c>
      <c r="CL26" s="201" t="s">
        <v>252</v>
      </c>
      <c r="CM26" s="201" t="s">
        <v>251</v>
      </c>
    </row>
    <row r="27" spans="1:91">
      <c r="A27" s="202"/>
      <c r="B27" s="201" t="s">
        <v>250</v>
      </c>
      <c r="C27" s="201" t="s">
        <v>2317</v>
      </c>
      <c r="D27" s="201" t="s">
        <v>2347</v>
      </c>
      <c r="E27" s="201" t="s">
        <v>2377</v>
      </c>
      <c r="F27" s="201" t="s">
        <v>2407</v>
      </c>
      <c r="G27" s="201" t="s">
        <v>2437</v>
      </c>
      <c r="H27" s="201" t="s">
        <v>248</v>
      </c>
      <c r="I27" s="201" t="s">
        <v>247</v>
      </c>
      <c r="J27" s="201" t="s">
        <v>246</v>
      </c>
      <c r="K27" s="201" t="s">
        <v>245</v>
      </c>
      <c r="L27" s="201" t="s">
        <v>244</v>
      </c>
      <c r="M27" s="201" t="s">
        <v>243</v>
      </c>
      <c r="N27" s="201" t="s">
        <v>242</v>
      </c>
      <c r="O27" s="201" t="s">
        <v>241</v>
      </c>
      <c r="P27" s="201" t="s">
        <v>240</v>
      </c>
      <c r="Q27" s="201" t="s">
        <v>239</v>
      </c>
      <c r="R27" s="201" t="s">
        <v>238</v>
      </c>
      <c r="S27" s="201" t="s">
        <v>237</v>
      </c>
      <c r="T27" s="201" t="s">
        <v>236</v>
      </c>
      <c r="U27" s="201" t="s">
        <v>235</v>
      </c>
      <c r="V27" s="201" t="s">
        <v>234</v>
      </c>
      <c r="W27" s="201" t="s">
        <v>233</v>
      </c>
      <c r="X27" s="201" t="s">
        <v>232</v>
      </c>
      <c r="Y27" s="201" t="s">
        <v>231</v>
      </c>
      <c r="Z27" s="201" t="s">
        <v>230</v>
      </c>
      <c r="AA27" s="201" t="s">
        <v>229</v>
      </c>
      <c r="AB27" s="201" t="s">
        <v>228</v>
      </c>
      <c r="AC27" s="201" t="s">
        <v>227</v>
      </c>
      <c r="AD27" s="201" t="s">
        <v>226</v>
      </c>
      <c r="AE27" s="201" t="s">
        <v>225</v>
      </c>
      <c r="AF27" s="201" t="s">
        <v>224</v>
      </c>
      <c r="AG27" s="201" t="s">
        <v>223</v>
      </c>
      <c r="AH27" s="201" t="s">
        <v>222</v>
      </c>
      <c r="AI27" s="201" t="s">
        <v>221</v>
      </c>
      <c r="AJ27" s="201" t="s">
        <v>220</v>
      </c>
      <c r="AK27" s="201" t="s">
        <v>219</v>
      </c>
      <c r="AL27" s="201" t="s">
        <v>218</v>
      </c>
      <c r="AM27" s="201" t="s">
        <v>217</v>
      </c>
      <c r="AN27" s="201" t="s">
        <v>216</v>
      </c>
      <c r="AO27" s="201" t="s">
        <v>215</v>
      </c>
      <c r="AP27" s="201" t="s">
        <v>214</v>
      </c>
      <c r="AQ27" s="201" t="s">
        <v>213</v>
      </c>
      <c r="AR27" s="201" t="s">
        <v>212</v>
      </c>
      <c r="AS27" s="201" t="s">
        <v>211</v>
      </c>
      <c r="AT27" s="201" t="s">
        <v>210</v>
      </c>
      <c r="AU27" s="201" t="s">
        <v>209</v>
      </c>
      <c r="AV27" s="201" t="s">
        <v>208</v>
      </c>
      <c r="AW27" s="201" t="s">
        <v>207</v>
      </c>
      <c r="AX27" s="201" t="s">
        <v>206</v>
      </c>
      <c r="AY27" s="201" t="s">
        <v>205</v>
      </c>
      <c r="AZ27" s="201" t="s">
        <v>204</v>
      </c>
      <c r="BA27" s="201" t="s">
        <v>203</v>
      </c>
      <c r="BB27" s="201" t="s">
        <v>202</v>
      </c>
      <c r="BC27" s="201" t="s">
        <v>201</v>
      </c>
      <c r="BD27" s="201" t="s">
        <v>200</v>
      </c>
      <c r="BE27" s="201" t="s">
        <v>199</v>
      </c>
      <c r="BF27" s="201" t="s">
        <v>198</v>
      </c>
      <c r="BG27" s="201" t="s">
        <v>197</v>
      </c>
      <c r="BH27" s="201" t="s">
        <v>196</v>
      </c>
      <c r="BI27" s="201" t="s">
        <v>195</v>
      </c>
      <c r="BJ27" s="201" t="s">
        <v>194</v>
      </c>
      <c r="BK27" s="201" t="s">
        <v>193</v>
      </c>
      <c r="BL27" s="201" t="s">
        <v>192</v>
      </c>
      <c r="BM27" s="201" t="s">
        <v>191</v>
      </c>
      <c r="BN27" s="201" t="s">
        <v>190</v>
      </c>
      <c r="BO27" s="201" t="s">
        <v>189</v>
      </c>
      <c r="BP27" s="201" t="s">
        <v>188</v>
      </c>
      <c r="BQ27" s="201" t="s">
        <v>187</v>
      </c>
      <c r="BR27" s="201" t="s">
        <v>186</v>
      </c>
      <c r="BS27" s="201" t="s">
        <v>185</v>
      </c>
      <c r="BT27" s="201" t="s">
        <v>184</v>
      </c>
      <c r="BU27" s="201" t="s">
        <v>183</v>
      </c>
      <c r="BV27" s="201" t="s">
        <v>182</v>
      </c>
      <c r="BW27" s="201" t="s">
        <v>181</v>
      </c>
      <c r="BX27" s="201" t="s">
        <v>180</v>
      </c>
      <c r="BY27" s="201" t="s">
        <v>179</v>
      </c>
      <c r="BZ27" s="201" t="s">
        <v>178</v>
      </c>
      <c r="CA27" s="201" t="s">
        <v>177</v>
      </c>
      <c r="CB27" s="201" t="s">
        <v>176</v>
      </c>
      <c r="CC27" s="201" t="s">
        <v>175</v>
      </c>
      <c r="CD27" s="201" t="s">
        <v>174</v>
      </c>
      <c r="CE27" s="201" t="s">
        <v>173</v>
      </c>
      <c r="CF27" s="201" t="s">
        <v>172</v>
      </c>
      <c r="CG27" s="201" t="s">
        <v>171</v>
      </c>
      <c r="CH27" s="201" t="s">
        <v>170</v>
      </c>
      <c r="CI27" s="201" t="s">
        <v>169</v>
      </c>
      <c r="CJ27" s="201" t="s">
        <v>168</v>
      </c>
      <c r="CK27" s="201" t="s">
        <v>167</v>
      </c>
      <c r="CL27" s="201" t="s">
        <v>166</v>
      </c>
      <c r="CM27" s="201" t="s">
        <v>165</v>
      </c>
    </row>
    <row r="28" spans="1:91">
      <c r="C28" s="201" t="s">
        <v>2318</v>
      </c>
      <c r="D28" s="201" t="s">
        <v>2348</v>
      </c>
      <c r="E28" s="201" t="s">
        <v>2378</v>
      </c>
      <c r="F28" s="201" t="s">
        <v>2408</v>
      </c>
      <c r="G28" s="201" t="s">
        <v>2438</v>
      </c>
    </row>
    <row r="29" spans="1:91" ht="13.5" thickBot="1">
      <c r="C29" s="201" t="s">
        <v>2319</v>
      </c>
      <c r="D29" s="201" t="s">
        <v>2349</v>
      </c>
      <c r="E29" s="201" t="s">
        <v>2379</v>
      </c>
      <c r="F29" s="201" t="s">
        <v>2409</v>
      </c>
      <c r="G29" s="201" t="s">
        <v>2439</v>
      </c>
    </row>
    <row r="30" spans="1:91">
      <c r="B30" s="208">
        <v>1</v>
      </c>
      <c r="C30" s="201" t="s">
        <v>2320</v>
      </c>
      <c r="D30" s="201" t="s">
        <v>2350</v>
      </c>
      <c r="E30" s="201" t="s">
        <v>2380</v>
      </c>
      <c r="F30" s="201" t="s">
        <v>2410</v>
      </c>
      <c r="G30" s="201" t="s">
        <v>2440</v>
      </c>
    </row>
    <row r="31" spans="1:91" ht="13.5" thickBot="1">
      <c r="B31" s="209">
        <v>2</v>
      </c>
      <c r="C31" s="201" t="s">
        <v>2321</v>
      </c>
      <c r="D31" s="201" t="s">
        <v>2351</v>
      </c>
      <c r="E31" s="201" t="s">
        <v>2381</v>
      </c>
      <c r="F31" s="201" t="s">
        <v>2411</v>
      </c>
      <c r="G31" s="201" t="s">
        <v>2441</v>
      </c>
    </row>
    <row r="32" spans="1:91">
      <c r="B32" s="209">
        <v>3</v>
      </c>
      <c r="C32" s="201" t="s">
        <v>2322</v>
      </c>
      <c r="D32" s="201" t="s">
        <v>2352</v>
      </c>
      <c r="E32" s="201" t="s">
        <v>2382</v>
      </c>
      <c r="F32" s="201" t="s">
        <v>2412</v>
      </c>
      <c r="G32" s="201" t="s">
        <v>2442</v>
      </c>
      <c r="K32" s="228"/>
      <c r="L32" s="229"/>
      <c r="M32" s="229" t="s">
        <v>2507</v>
      </c>
      <c r="N32" s="229"/>
      <c r="O32" s="229"/>
      <c r="P32" s="229"/>
      <c r="Q32" s="229"/>
      <c r="R32" s="230"/>
    </row>
    <row r="33" spans="2:29">
      <c r="B33" s="209">
        <v>4</v>
      </c>
      <c r="K33" s="231"/>
      <c r="R33" s="232"/>
    </row>
    <row r="34" spans="2:29">
      <c r="B34" s="209">
        <v>5</v>
      </c>
      <c r="K34" s="231"/>
      <c r="L34" s="216" t="s">
        <v>2496</v>
      </c>
      <c r="M34" s="3" t="s">
        <v>12</v>
      </c>
      <c r="O34" s="216" t="s">
        <v>2497</v>
      </c>
      <c r="P34" s="216" t="s">
        <v>2471</v>
      </c>
      <c r="R34" s="232"/>
    </row>
    <row r="35" spans="2:29">
      <c r="B35" s="209">
        <v>6</v>
      </c>
      <c r="K35" s="231"/>
      <c r="L35" s="204">
        <v>1</v>
      </c>
      <c r="M35" s="236" t="str">
        <f>Worksheet!V11</f>
        <v>HO</v>
      </c>
      <c r="R35" s="232"/>
      <c r="Y35"/>
      <c r="Z35" t="s">
        <v>2443</v>
      </c>
      <c r="AA35"/>
      <c r="AB35"/>
      <c r="AC35"/>
    </row>
    <row r="36" spans="2:29">
      <c r="B36" s="209">
        <v>7</v>
      </c>
      <c r="K36" s="231"/>
      <c r="L36" s="204">
        <v>2</v>
      </c>
      <c r="M36" s="237" t="str">
        <f>Worksheet!V12</f>
        <v>HO</v>
      </c>
      <c r="O36" s="204">
        <f>COUNTIF(M35:M54,$P36)</f>
        <v>0</v>
      </c>
      <c r="P36" s="214" t="s">
        <v>2472</v>
      </c>
      <c r="R36" s="232"/>
      <c r="Y36"/>
      <c r="Z36"/>
      <c r="AA36"/>
      <c r="AB36"/>
      <c r="AC36"/>
    </row>
    <row r="37" spans="2:29">
      <c r="B37" s="209">
        <v>8</v>
      </c>
      <c r="K37" s="231"/>
      <c r="L37" s="204">
        <v>3</v>
      </c>
      <c r="M37" s="237" t="str">
        <f>Worksheet!V13</f>
        <v>HO</v>
      </c>
      <c r="O37" s="204">
        <f>COUNTIF(M35:M54,$P37)</f>
        <v>0</v>
      </c>
      <c r="P37" s="214" t="s">
        <v>2478</v>
      </c>
      <c r="R37" s="232"/>
      <c r="Y37" t="s">
        <v>2448</v>
      </c>
      <c r="Z37" t="s">
        <v>13</v>
      </c>
      <c r="AA37"/>
      <c r="AB37"/>
      <c r="AC37"/>
    </row>
    <row r="38" spans="2:29">
      <c r="B38" s="209">
        <v>9</v>
      </c>
      <c r="H38" s="216" t="s">
        <v>2470</v>
      </c>
      <c r="I38" s="216" t="s">
        <v>2469</v>
      </c>
      <c r="K38" s="231"/>
      <c r="L38" s="204">
        <v>4</v>
      </c>
      <c r="M38" s="237" t="str">
        <f>Worksheet!V14</f>
        <v>HO</v>
      </c>
      <c r="O38" s="204">
        <f>COUNTIF(M35:M54,$P38)</f>
        <v>0</v>
      </c>
      <c r="P38" s="214" t="s">
        <v>2480</v>
      </c>
      <c r="R38" s="232"/>
      <c r="Y38"/>
      <c r="Z38" t="s">
        <v>2444</v>
      </c>
      <c r="AA38"/>
      <c r="AB38"/>
      <c r="AC38"/>
    </row>
    <row r="39" spans="2:29">
      <c r="B39" s="209">
        <v>10</v>
      </c>
      <c r="H39" s="215" t="s">
        <v>2294</v>
      </c>
      <c r="I39" s="214">
        <f ca="1">IF(Worksheet!D11&gt;0,(ROUNDUP(('TICKETS (1)'!I6-(Worksheet!H11+3.5))/4 +1,0))*2,ROUNDUP(('TICKETS (1)'!I6-(Worksheet!H11+3.5))/4 +1,0))</f>
        <v>12</v>
      </c>
      <c r="K39" s="231"/>
      <c r="L39" s="204">
        <v>5</v>
      </c>
      <c r="M39" s="237" t="str">
        <f>Worksheet!V15</f>
        <v>HO</v>
      </c>
      <c r="O39" s="204">
        <f>COUNTIF($M35:$M54,$P40)</f>
        <v>0</v>
      </c>
      <c r="P39" s="214" t="s">
        <v>2596</v>
      </c>
      <c r="R39" s="232"/>
      <c r="Y39"/>
      <c r="Z39" t="s">
        <v>2445</v>
      </c>
      <c r="AA39"/>
      <c r="AB39"/>
      <c r="AC39"/>
    </row>
    <row r="40" spans="2:29">
      <c r="B40" s="209">
        <v>11</v>
      </c>
      <c r="H40" s="215" t="s">
        <v>2209</v>
      </c>
      <c r="I40" s="214">
        <f ca="1">IF(Worksheet!D12&gt;0,(ROUNDUP(('TICKETS (1)'!I20-(Worksheet!H12+3.5))/4 +1,0))*2,ROUNDUP(('TICKETS (1)'!I20-(Worksheet!H12+3.5))/4 +1,0))</f>
        <v>12</v>
      </c>
      <c r="K40" s="231"/>
      <c r="L40" s="204">
        <v>6</v>
      </c>
      <c r="M40" s="237" t="str">
        <f>Worksheet!V16</f>
        <v>HO</v>
      </c>
      <c r="O40" s="204">
        <f>COUNTIF(M35:M54,$P41)</f>
        <v>0</v>
      </c>
      <c r="P40" s="214" t="s">
        <v>2473</v>
      </c>
      <c r="R40" s="232"/>
      <c r="Y40"/>
      <c r="Z40" t="s">
        <v>2446</v>
      </c>
      <c r="AA40"/>
      <c r="AB40"/>
      <c r="AC40"/>
    </row>
    <row r="41" spans="2:29">
      <c r="B41" s="209">
        <v>12</v>
      </c>
      <c r="H41" s="215" t="s">
        <v>2124</v>
      </c>
      <c r="I41" s="214">
        <f ca="1">IF(Worksheet!D13&gt;0,(ROUNDUP(('TICKETS (1)'!I34-(Worksheet!H13+3.5))/4 +1,0))*2,ROUNDUP(('TICKETS (1)'!I34-(Worksheet!H13+3.5))/4 +1,0))</f>
        <v>12</v>
      </c>
      <c r="K41" s="231"/>
      <c r="L41" s="204">
        <v>7</v>
      </c>
      <c r="M41" s="237" t="str">
        <f>Worksheet!V17</f>
        <v>HO</v>
      </c>
      <c r="O41" s="204">
        <f>COUNTIF(M35:M54,$P42)</f>
        <v>0</v>
      </c>
      <c r="P41" s="214" t="s">
        <v>2481</v>
      </c>
      <c r="R41" s="232"/>
      <c r="Y41"/>
      <c r="Z41" t="s">
        <v>2447</v>
      </c>
      <c r="AA41"/>
      <c r="AB41"/>
      <c r="AC41"/>
    </row>
    <row r="42" spans="2:29">
      <c r="B42" s="209">
        <v>13</v>
      </c>
      <c r="H42" s="215" t="s">
        <v>2039</v>
      </c>
      <c r="I42" s="214">
        <f ca="1">IF(Worksheet!D14&gt;0,(ROUNDUP(('TICKETS (1)'!I48-(Worksheet!H14+3.5))/4 +1,0))*2,ROUNDUP(('TICKETS (1)'!I48-(Worksheet!H14+3.5))/4 +1,0))</f>
        <v>18</v>
      </c>
      <c r="K42" s="231"/>
      <c r="L42" s="204">
        <v>8</v>
      </c>
      <c r="M42" s="237" t="str">
        <f>Worksheet!V18</f>
        <v>HO</v>
      </c>
      <c r="O42" s="204">
        <f>COUNTIF(M35:M54,$P43)</f>
        <v>0</v>
      </c>
      <c r="P42" s="214" t="s">
        <v>2482</v>
      </c>
      <c r="R42" s="232"/>
      <c r="Y42"/>
      <c r="Z42" t="s">
        <v>2452</v>
      </c>
      <c r="AA42"/>
      <c r="AB42"/>
      <c r="AC42"/>
    </row>
    <row r="43" spans="2:29">
      <c r="B43" s="209">
        <v>14</v>
      </c>
      <c r="H43" s="215" t="s">
        <v>1954</v>
      </c>
      <c r="I43" s="214">
        <f ca="1">IF(Worksheet!D15&gt;0,(ROUNDUP(('TICKETS (1)'!I60-(Worksheet!H15+3.5))/4 +1,0))*2,ROUNDUP(('TICKETS (1)'!I60-(Worksheet!H15+3.5))/4 +1,0))</f>
        <v>18</v>
      </c>
      <c r="K43" s="231"/>
      <c r="L43" s="204">
        <v>9</v>
      </c>
      <c r="M43" s="237" t="str">
        <f>Worksheet!V19</f>
        <v>HO</v>
      </c>
      <c r="O43" s="204">
        <f>COUNTIF(M35:M54,$P44)</f>
        <v>0</v>
      </c>
      <c r="P43" s="214" t="s">
        <v>2474</v>
      </c>
      <c r="R43" s="232"/>
      <c r="Y43"/>
      <c r="Z43"/>
      <c r="AA43"/>
      <c r="AB43"/>
      <c r="AC43"/>
    </row>
    <row r="44" spans="2:29">
      <c r="B44" s="209">
        <v>15</v>
      </c>
      <c r="H44" s="215" t="s">
        <v>1869</v>
      </c>
      <c r="I44" s="214">
        <f ca="1">IF(Worksheet!D16&gt;0,(ROUNDUP(('TICKETS (1)'!I74-(Worksheet!H16+3.5))/4 +1,0))*2,ROUNDUP(('TICKETS (1)'!I74-(Worksheet!H16+3.5))/4 +1,0))</f>
        <v>16</v>
      </c>
      <c r="K44" s="231"/>
      <c r="L44" s="204">
        <v>10</v>
      </c>
      <c r="M44" s="237" t="str">
        <f>Worksheet!V20</f>
        <v>HO</v>
      </c>
      <c r="O44" s="204">
        <f>COUNTIF(M35:M54,$P45)</f>
        <v>0</v>
      </c>
      <c r="P44" s="214" t="s">
        <v>2483</v>
      </c>
      <c r="R44" s="232"/>
      <c r="Y44" t="s">
        <v>2449</v>
      </c>
      <c r="Z44" t="s">
        <v>13</v>
      </c>
      <c r="AA44"/>
      <c r="AB44"/>
      <c r="AC44"/>
    </row>
    <row r="45" spans="2:29">
      <c r="B45" s="209">
        <v>16</v>
      </c>
      <c r="H45" s="215" t="s">
        <v>1784</v>
      </c>
      <c r="I45" s="214">
        <f ca="1">IF(Worksheet!D17&gt;0,(ROUNDUP(('TICKETS (1)'!I88-(Worksheet!H17+3.5))/4 +1,0))*2,ROUNDUP(('TICKETS (1)'!I88-(Worksheet!H17+3.5))/4 +1,0))</f>
        <v>18</v>
      </c>
      <c r="K45" s="231"/>
      <c r="L45" s="204">
        <v>11</v>
      </c>
      <c r="M45" s="237" t="str">
        <f>Worksheet!V21</f>
        <v>HO</v>
      </c>
      <c r="O45" s="204">
        <f>COUNTIF(M35:M54,$P46)</f>
        <v>0</v>
      </c>
      <c r="P45" s="214" t="s">
        <v>2484</v>
      </c>
      <c r="R45" s="232"/>
      <c r="Y45"/>
      <c r="Z45" t="s">
        <v>2445</v>
      </c>
      <c r="AA45"/>
      <c r="AB45"/>
      <c r="AC45"/>
    </row>
    <row r="46" spans="2:29">
      <c r="B46" s="209">
        <v>17</v>
      </c>
      <c r="H46" s="215" t="s">
        <v>1699</v>
      </c>
      <c r="I46" s="214">
        <f ca="1">IF(Worksheet!D18&gt;0,(ROUNDUP(('TICKETS (1)'!I102-(Worksheet!H18+3.5))/4 +1,0))*2,ROUNDUP(('TICKETS (1)'!I102-(Worksheet!H18+3.5))/4 +1,0))</f>
        <v>18</v>
      </c>
      <c r="K46" s="231"/>
      <c r="L46" s="204">
        <v>12</v>
      </c>
      <c r="M46" s="237" t="str">
        <f>Worksheet!V22</f>
        <v>HO</v>
      </c>
      <c r="O46" s="204">
        <f>COUNTIF(M35:M54,$P47)</f>
        <v>0</v>
      </c>
      <c r="P46" s="214" t="s">
        <v>2475</v>
      </c>
      <c r="R46" s="232"/>
      <c r="Y46"/>
      <c r="Z46" t="s">
        <v>2450</v>
      </c>
      <c r="AA46"/>
      <c r="AB46"/>
      <c r="AC46"/>
    </row>
    <row r="47" spans="2:29">
      <c r="B47" s="209">
        <v>18</v>
      </c>
      <c r="H47" s="215" t="s">
        <v>1614</v>
      </c>
      <c r="I47" s="214">
        <f ca="1">IF(Worksheet!D19&gt;0,(ROUNDUP(('TICKETS (1)'!I114-(Worksheet!H19+3.5))/4 +1,0))*2,ROUNDUP(('TICKETS (1)'!I114-(Worksheet!H19+3.5))/4 +1,0))</f>
        <v>12</v>
      </c>
      <c r="K47" s="231"/>
      <c r="L47" s="204">
        <v>13</v>
      </c>
      <c r="M47" s="237" t="str">
        <f>Worksheet!V23</f>
        <v>HO</v>
      </c>
      <c r="O47" s="204">
        <f>COUNTIF(M35:M54,$P48)</f>
        <v>0</v>
      </c>
      <c r="P47" s="214" t="s">
        <v>2485</v>
      </c>
      <c r="R47" s="232"/>
      <c r="Y47"/>
      <c r="Z47" t="s">
        <v>2451</v>
      </c>
      <c r="AA47"/>
      <c r="AB47"/>
      <c r="AC47"/>
    </row>
    <row r="48" spans="2:29">
      <c r="B48" s="209">
        <v>19</v>
      </c>
      <c r="H48" s="215" t="s">
        <v>1529</v>
      </c>
      <c r="I48" s="214">
        <f ca="1">IF(Worksheet!D20&gt;0,(ROUNDUP(('TICKETS (1)'!I128-(Worksheet!H20+3.5))/4 +1,0))*2,ROUNDUP(('TICKETS (1)'!I128-(Worksheet!H20+3.5))/4 +1,0))</f>
        <v>12</v>
      </c>
      <c r="K48" s="231"/>
      <c r="L48" s="204">
        <v>14</v>
      </c>
      <c r="M48" s="237" t="str">
        <f>Worksheet!V24</f>
        <v>HO</v>
      </c>
      <c r="O48" s="204">
        <f>COUNTIF(M35:M54,$P49)</f>
        <v>0</v>
      </c>
      <c r="P48" s="214" t="s">
        <v>2486</v>
      </c>
      <c r="R48" s="232"/>
      <c r="Y48"/>
      <c r="Z48" t="s">
        <v>2446</v>
      </c>
      <c r="AA48"/>
      <c r="AB48"/>
      <c r="AC48"/>
    </row>
    <row r="49" spans="1:29">
      <c r="B49" s="209">
        <v>20</v>
      </c>
      <c r="H49" s="215" t="s">
        <v>1444</v>
      </c>
      <c r="I49" s="214">
        <f ca="1">IF(Worksheet!D21&gt;0,(ROUNDUP(('TICKETS (1)'!I142-(Worksheet!H21+3.5))/4 +1,0))*2,ROUNDUP(('TICKETS (1)'!I142-(Worksheet!H21+3.5))/4 +1,0))</f>
        <v>12</v>
      </c>
      <c r="K49" s="231"/>
      <c r="L49" s="204">
        <v>15</v>
      </c>
      <c r="M49" s="237" t="str">
        <f>Worksheet!V25</f>
        <v>HO</v>
      </c>
      <c r="O49" s="204">
        <f>COUNTIF(M35:M54,$P50)</f>
        <v>0</v>
      </c>
      <c r="P49" s="214" t="s">
        <v>2476</v>
      </c>
      <c r="R49" s="232"/>
      <c r="Y49"/>
      <c r="Z49" t="s">
        <v>2452</v>
      </c>
      <c r="AA49"/>
      <c r="AB49"/>
      <c r="AC49"/>
    </row>
    <row r="50" spans="1:29">
      <c r="B50" s="209">
        <v>21</v>
      </c>
      <c r="H50" s="215" t="s">
        <v>1359</v>
      </c>
      <c r="I50" s="214">
        <f ca="1">IF(Worksheet!D22&gt;0,(ROUNDUP(('TICKETS (1)'!I156-(Worksheet!H22+3.5))/4 +1,0))*2,ROUNDUP(('TICKETS (1)'!I156-(Worksheet!H22+3.5))/4 +1,0))</f>
        <v>12</v>
      </c>
      <c r="K50" s="231"/>
      <c r="L50" s="204">
        <v>16</v>
      </c>
      <c r="M50" s="237" t="str">
        <f>Worksheet!V26</f>
        <v>HO</v>
      </c>
      <c r="O50" s="204">
        <f>COUNTIF(M35:M54,$P51)</f>
        <v>0</v>
      </c>
      <c r="P50" s="214" t="s">
        <v>2477</v>
      </c>
      <c r="R50" s="232"/>
      <c r="Y50"/>
      <c r="Z50"/>
      <c r="AA50"/>
      <c r="AB50"/>
      <c r="AC50"/>
    </row>
    <row r="51" spans="1:29">
      <c r="B51" s="209">
        <v>22</v>
      </c>
      <c r="H51" s="215" t="s">
        <v>1274</v>
      </c>
      <c r="I51" s="214">
        <f ca="1">IF(Worksheet!D23&gt;0,(ROUNDUP(('TICKETS (1)'!I168-(Worksheet!H23+3.5))/4 +1,0))*2,ROUNDUP(('TICKETS (1)'!I168-(Worksheet!H23+3.5))/4 +1,0))</f>
        <v>12</v>
      </c>
      <c r="K51" s="231"/>
      <c r="L51" s="204">
        <v>17</v>
      </c>
      <c r="M51" s="237" t="str">
        <f>Worksheet!V27</f>
        <v>HO</v>
      </c>
      <c r="O51" s="204">
        <f>COUNTIF(M35:M54,$P52)</f>
        <v>0</v>
      </c>
      <c r="P51" s="214" t="s">
        <v>2479</v>
      </c>
      <c r="R51" s="232"/>
      <c r="Y51" t="s">
        <v>2453</v>
      </c>
      <c r="Z51" t="s">
        <v>13</v>
      </c>
      <c r="AA51"/>
      <c r="AB51"/>
      <c r="AC51"/>
    </row>
    <row r="52" spans="1:29">
      <c r="B52" s="209">
        <v>23</v>
      </c>
      <c r="H52" s="215" t="s">
        <v>1189</v>
      </c>
      <c r="I52" s="214">
        <f ca="1">IF(Worksheet!D24&gt;0,(ROUNDUP(('TICKETS (1)'!I182-(Worksheet!H24+3.5))/4 +1,0))*2,ROUNDUP(('TICKETS (1)'!I182-(Worksheet!H24+3.5))/4 +1,0))</f>
        <v>12</v>
      </c>
      <c r="K52" s="231"/>
      <c r="L52" s="204">
        <v>18</v>
      </c>
      <c r="M52" s="237" t="str">
        <f>Worksheet!V28</f>
        <v>HO</v>
      </c>
      <c r="O52" s="204">
        <f>COUNTIF(M35:M54,$P53)</f>
        <v>0</v>
      </c>
      <c r="P52" s="214" t="s">
        <v>2490</v>
      </c>
      <c r="R52" s="232"/>
      <c r="Y52"/>
      <c r="Z52" t="s">
        <v>2445</v>
      </c>
      <c r="AA52"/>
      <c r="AB52"/>
      <c r="AC52"/>
    </row>
    <row r="53" spans="1:29">
      <c r="B53" s="209">
        <v>24</v>
      </c>
      <c r="H53" s="215" t="s">
        <v>1104</v>
      </c>
      <c r="I53" s="214">
        <f ca="1">IF(Worksheet!D25&gt;0,(ROUNDUP(('TICKETS (1)'!I196-(Worksheet!H25+3.5))/4 +1,0))*2,ROUNDUP(('TICKETS (1)'!I196-(Worksheet!H25+3.5))/4 +1,0))</f>
        <v>12</v>
      </c>
      <c r="K53" s="231"/>
      <c r="L53" s="204">
        <v>19</v>
      </c>
      <c r="M53" s="237" t="str">
        <f>Worksheet!V29</f>
        <v>HO</v>
      </c>
      <c r="O53" s="204">
        <f>COUNTIF(M35:M54,$P54)</f>
        <v>0</v>
      </c>
      <c r="P53" s="214" t="s">
        <v>2491</v>
      </c>
      <c r="R53" s="232"/>
      <c r="Y53"/>
      <c r="Z53" t="s">
        <v>2454</v>
      </c>
      <c r="AA53"/>
      <c r="AB53"/>
      <c r="AC53"/>
    </row>
    <row r="54" spans="1:29">
      <c r="B54" s="209">
        <v>25</v>
      </c>
      <c r="H54" s="215" t="s">
        <v>1019</v>
      </c>
      <c r="I54" s="214">
        <f ca="1">IF(Worksheet!D26&gt;0,(ROUNDUP(('TICKETS (1)'!I210-(Worksheet!H26+3.5))/4 +1,0))*2,ROUNDUP(('TICKETS (1)'!I210-(Worksheet!H26+3.5))/4 +1,0))</f>
        <v>12</v>
      </c>
      <c r="K54" s="231"/>
      <c r="L54" s="204">
        <v>20</v>
      </c>
      <c r="M54" s="237" t="str">
        <f>Worksheet!V30</f>
        <v>HO</v>
      </c>
      <c r="O54" s="204">
        <f>COUNTIF(M35:M54,$P55)</f>
        <v>0</v>
      </c>
      <c r="P54" s="214" t="s">
        <v>2492</v>
      </c>
      <c r="R54" s="232"/>
      <c r="Y54"/>
      <c r="Z54" t="s">
        <v>2446</v>
      </c>
      <c r="AA54"/>
      <c r="AB54"/>
      <c r="AC54"/>
    </row>
    <row r="55" spans="1:29">
      <c r="B55" s="209">
        <v>26</v>
      </c>
      <c r="H55" s="215" t="s">
        <v>934</v>
      </c>
      <c r="I55" s="214">
        <f ca="1">IF(Worksheet!D27&gt;0,(ROUNDUP(('TICKETS (1)'!I222-(Worksheet!H27+3.5))/4 +1,0))*2,ROUNDUP(('TICKETS (1)'!I222-(Worksheet!H27+3.5))/4 +1,0))</f>
        <v>16</v>
      </c>
      <c r="K55" s="231"/>
      <c r="O55" s="204">
        <f>COUNTIF(M35:M54,$P56)</f>
        <v>0</v>
      </c>
      <c r="P55" s="214" t="s">
        <v>2493</v>
      </c>
      <c r="R55" s="232"/>
      <c r="Y55"/>
      <c r="Z55" t="s">
        <v>2452</v>
      </c>
      <c r="AA55"/>
      <c r="AB55"/>
      <c r="AC55"/>
    </row>
    <row r="56" spans="1:29">
      <c r="B56" s="209">
        <v>27</v>
      </c>
      <c r="H56" s="215" t="s">
        <v>849</v>
      </c>
      <c r="I56" s="214">
        <f ca="1">IF(Worksheet!D28&gt;0,(ROUNDUP(('TICKETS (1)'!I236-(Worksheet!H28+3.5))/4 +1,0))*2,ROUNDUP(('TICKETS (1)'!I236-(Worksheet!H28+3.5))/4 +1,0))</f>
        <v>16</v>
      </c>
      <c r="K56" s="231"/>
      <c r="O56" s="204">
        <f>COUNTIF(M35:M54,$P57)</f>
        <v>0</v>
      </c>
      <c r="P56" s="214" t="s">
        <v>2494</v>
      </c>
      <c r="R56" s="232"/>
      <c r="Y56"/>
      <c r="Z56"/>
      <c r="AA56"/>
      <c r="AB56"/>
      <c r="AC56"/>
    </row>
    <row r="57" spans="1:29">
      <c r="B57" s="209">
        <v>28</v>
      </c>
      <c r="H57" s="215" t="s">
        <v>764</v>
      </c>
      <c r="I57" s="214">
        <f ca="1">IF(Worksheet!D29&gt;0,(ROUNDUP(('TICKETS (1)'!I250-(Worksheet!H29+3.5))/4 +1,0))*2,ROUNDUP(('TICKETS (1)'!I250-(Worksheet!H29+3.5))/4 +1,0))</f>
        <v>13</v>
      </c>
      <c r="K57" s="231"/>
      <c r="O57" s="204">
        <f>COUNTIF(M35:M54,$P58)</f>
        <v>0</v>
      </c>
      <c r="P57" s="214" t="s">
        <v>2495</v>
      </c>
      <c r="R57" s="232"/>
      <c r="Y57" t="s">
        <v>2455</v>
      </c>
      <c r="Z57" t="s">
        <v>13</v>
      </c>
      <c r="AA57" t="s">
        <v>2457</v>
      </c>
      <c r="AB57" t="s">
        <v>13</v>
      </c>
      <c r="AC57"/>
    </row>
    <row r="58" spans="1:29" ht="13.5" thickBot="1">
      <c r="B58" s="209">
        <v>29</v>
      </c>
      <c r="H58" s="215" t="s">
        <v>679</v>
      </c>
      <c r="I58" s="214">
        <f ca="1">IF(Worksheet!D30&gt;0,(ROUNDUP(('TICKETS (1)'!I264-(Worksheet!H30+3.5))/4 +1,0))*2,ROUNDUP(('TICKETS (1)'!I264-(Worksheet!H30+3.5))/4 +1,0))</f>
        <v>18</v>
      </c>
      <c r="K58" s="233"/>
      <c r="L58" s="234"/>
      <c r="M58" s="234"/>
      <c r="N58" s="234"/>
      <c r="O58" s="241"/>
      <c r="P58" s="214" t="s">
        <v>2488</v>
      </c>
      <c r="Q58" s="234"/>
      <c r="R58" s="235"/>
      <c r="Y58"/>
      <c r="Z58" t="s">
        <v>2445</v>
      </c>
      <c r="AA58"/>
      <c r="AB58" t="s">
        <v>2445</v>
      </c>
      <c r="AC58"/>
    </row>
    <row r="59" spans="1:29" ht="13.5" thickBot="1">
      <c r="B59" s="210">
        <v>30</v>
      </c>
      <c r="H59" s="215" t="s">
        <v>2569</v>
      </c>
      <c r="I59" s="214" t="e">
        <f>IF(#REF!&gt;0,(ROUNDUP((#REF!-(#REF!+3.5))/4 +1,0))*2,ROUNDUP((#REF!-(#REF!+3.5))/4 +1,0))</f>
        <v>#REF!</v>
      </c>
      <c r="P59" s="234"/>
      <c r="W59"/>
      <c r="X59" t="s">
        <v>2450</v>
      </c>
      <c r="Y59"/>
      <c r="Z59" t="s">
        <v>2450</v>
      </c>
      <c r="AA59"/>
    </row>
    <row r="60" spans="1:29">
      <c r="H60" s="215" t="s">
        <v>2570</v>
      </c>
      <c r="I60" s="214" t="e">
        <f>IF(#REF!&gt;0,(ROUNDUP((#REF!-(#REF!+3.5))/4 +1,0))*2,ROUNDUP((#REF!-(#REF!+3.5))/4 +1,0))</f>
        <v>#REF!</v>
      </c>
      <c r="P60" s="201" t="s">
        <v>2547</v>
      </c>
      <c r="Y60"/>
      <c r="Z60" t="s">
        <v>2451</v>
      </c>
      <c r="AA60"/>
      <c r="AB60" t="s">
        <v>2451</v>
      </c>
      <c r="AC60"/>
    </row>
    <row r="61" spans="1:29">
      <c r="H61" s="215" t="s">
        <v>2571</v>
      </c>
      <c r="I61" s="214" t="e">
        <f>IF(#REF!&gt;0,(ROUNDUP((#REF!-(#REF!+3.5))/4 +1,0))*2,ROUNDUP((#REF!-(#REF!+3.5))/4 +1,0))</f>
        <v>#REF!</v>
      </c>
      <c r="Y61"/>
      <c r="Z61" t="s">
        <v>2456</v>
      </c>
      <c r="AA61"/>
      <c r="AB61" t="s">
        <v>2458</v>
      </c>
      <c r="AC61"/>
    </row>
    <row r="62" spans="1:29">
      <c r="H62" s="215" t="s">
        <v>2572</v>
      </c>
      <c r="I62" s="214" t="e">
        <f>IF(#REF!&gt;0,(ROUNDUP((#REF!-(#REF!+3.5))/4 +1,0))*2,ROUNDUP((#REF!-(#REF!+3.5))/4 +1,0))</f>
        <v>#REF!</v>
      </c>
      <c r="Y62"/>
      <c r="Z62" t="s">
        <v>2446</v>
      </c>
      <c r="AA62"/>
      <c r="AB62" t="s">
        <v>2446</v>
      </c>
      <c r="AC62"/>
    </row>
    <row r="63" spans="1:29">
      <c r="A63"/>
      <c r="B63"/>
      <c r="C63"/>
      <c r="D63"/>
      <c r="E63"/>
      <c r="F63"/>
      <c r="G63"/>
      <c r="H63" s="215" t="s">
        <v>2573</v>
      </c>
      <c r="I63" s="214" t="e">
        <f>IF(#REF!&gt;0,(ROUNDUP((#REF!-(#REF!+3.5))/4 +1,0))*2,ROUNDUP((#REF!-(#REF!+3.5))/4 +1,0))</f>
        <v>#REF!</v>
      </c>
      <c r="J63"/>
      <c r="K63"/>
      <c r="L63"/>
      <c r="M63"/>
      <c r="N63"/>
      <c r="Y63"/>
      <c r="Z63" t="s">
        <v>2452</v>
      </c>
      <c r="AA63"/>
      <c r="AB63" t="s">
        <v>2452</v>
      </c>
      <c r="AC63"/>
    </row>
    <row r="64" spans="1:29">
      <c r="H64" s="215" t="s">
        <v>2574</v>
      </c>
      <c r="I64" s="214" t="e">
        <f>IF(#REF!&gt;0,(ROUNDUP((#REF!-(#REF!+3.5))/4 +1,0))*2,ROUNDUP((#REF!-(#REF!+3.5))/4 +1,0))</f>
        <v>#REF!</v>
      </c>
      <c r="N64"/>
      <c r="Y64"/>
      <c r="Z64"/>
      <c r="AA64"/>
      <c r="AB64" t="s">
        <v>2459</v>
      </c>
      <c r="AC64"/>
    </row>
    <row r="65" spans="1:30">
      <c r="H65" s="215" t="s">
        <v>2575</v>
      </c>
      <c r="I65" s="214" t="e">
        <f>IF(#REF!&gt;0,(ROUNDUP((#REF!-(#REF!+3.5))/4 +1,0))*2,ROUNDUP((#REF!-(#REF!+3.5))/4 +1,0))</f>
        <v>#REF!</v>
      </c>
      <c r="N65"/>
      <c r="Y65"/>
      <c r="Z65"/>
      <c r="AA65"/>
      <c r="AB65" t="s">
        <v>2460</v>
      </c>
      <c r="AC65"/>
    </row>
    <row r="66" spans="1:30" ht="13.5" thickBot="1">
      <c r="H66" s="215" t="s">
        <v>2576</v>
      </c>
      <c r="I66" s="214" t="e">
        <f>IF(#REF!&gt;0,(ROUNDUP((#REF!-(#REF!+3.5))/4 +1,0))*2,ROUNDUP((#REF!-(#REF!+3.5))/4 +1,0))</f>
        <v>#REF!</v>
      </c>
      <c r="N66"/>
      <c r="Y66"/>
      <c r="Z66"/>
      <c r="AA66"/>
      <c r="AB66" t="s">
        <v>2461</v>
      </c>
      <c r="AC66"/>
    </row>
    <row r="67" spans="1:30" ht="26.25" thickBot="1">
      <c r="A67"/>
      <c r="B67" s="212" t="s">
        <v>2462</v>
      </c>
      <c r="C67" s="212" t="s">
        <v>2463</v>
      </c>
      <c r="D67" s="212" t="s">
        <v>2464</v>
      </c>
      <c r="E67" s="212" t="s">
        <v>2446</v>
      </c>
      <c r="F67" s="212" t="s">
        <v>2465</v>
      </c>
      <c r="H67" s="215" t="s">
        <v>2577</v>
      </c>
      <c r="I67" s="214" t="e">
        <f>IF(#REF!&gt;0,(ROUNDUP((#REF!-(#REF!+3.5))/4 +1,0))*2,ROUNDUP((#REF!-(#REF!+3.5))/4 +1,0))</f>
        <v>#REF!</v>
      </c>
      <c r="K67" s="228"/>
      <c r="L67" s="229"/>
      <c r="M67" s="229" t="s">
        <v>2508</v>
      </c>
      <c r="N67" s="229"/>
      <c r="O67" s="229"/>
      <c r="Q67" s="229"/>
      <c r="R67" s="230"/>
      <c r="V67" s="212" t="s">
        <v>2451</v>
      </c>
      <c r="W67" s="212" t="s">
        <v>2466</v>
      </c>
      <c r="X67" s="212" t="s">
        <v>2450</v>
      </c>
      <c r="Y67"/>
      <c r="Z67"/>
      <c r="AA67" s="212" t="s">
        <v>2445</v>
      </c>
      <c r="AB67"/>
      <c r="AC67"/>
      <c r="AD67"/>
    </row>
    <row r="68" spans="1:30">
      <c r="A68">
        <v>1</v>
      </c>
      <c r="B68">
        <f>Worksheet!BF11</f>
        <v>4.875</v>
      </c>
      <c r="C68">
        <f>Worksheet!AE11</f>
        <v>7.625</v>
      </c>
      <c r="D68">
        <f>IF(Worksheet!AA11&gt;0,(Worksheet!AA11*Worksheet!P11+8)/36,0)</f>
        <v>3.9222222222222225</v>
      </c>
      <c r="E68">
        <f>IF(Worksheet!M11&gt;0,Worksheet!AA11+1,0)</f>
        <v>2.8</v>
      </c>
      <c r="F68">
        <f ca="1">IF(Worksheet!M11&gt;0,I39+2,0)</f>
        <v>14</v>
      </c>
      <c r="H68" s="215" t="s">
        <v>2578</v>
      </c>
      <c r="I68" s="214" t="e">
        <f>IF(#REF!&gt;0,(ROUNDUP((#REF!-(#REF!+3.5))/4 +1,0))*2,ROUNDUP((#REF!-(#REF!+3.5))/4 +1,0))</f>
        <v>#REF!</v>
      </c>
      <c r="J68"/>
      <c r="K68" s="231"/>
      <c r="P68" s="229"/>
      <c r="R68" s="232"/>
    </row>
    <row r="69" spans="1:30">
      <c r="A69">
        <v>2</v>
      </c>
      <c r="B69">
        <f>Worksheet!BF12</f>
        <v>4.6749999999999998</v>
      </c>
      <c r="C69">
        <f>Worksheet!AE12</f>
        <v>5.166666666666667</v>
      </c>
      <c r="D69">
        <f>IF(Worksheet!AA12&gt;0,(Worksheet!AA12*Worksheet!P12+8)/36,0)</f>
        <v>3.7166666666666668</v>
      </c>
      <c r="E69">
        <f>IF(Worksheet!M12&gt;0,Worksheet!AA12+1,0)</f>
        <v>2.7</v>
      </c>
      <c r="F69">
        <f ca="1">IF(Worksheet!M12&gt;0,I40+2,0)</f>
        <v>14</v>
      </c>
      <c r="H69" s="215" t="s">
        <v>2579</v>
      </c>
      <c r="I69" s="214" t="e">
        <f>IF(#REF!&gt;0,(ROUNDUP((#REF!-(#REF!+3.5))/4 +1,0))*2,ROUNDUP((#REF!-(#REF!+3.5))/4 +1,0))</f>
        <v>#REF!</v>
      </c>
      <c r="J69"/>
      <c r="K69" s="231"/>
      <c r="L69" s="216" t="s">
        <v>2496</v>
      </c>
      <c r="M69" s="3" t="s">
        <v>12</v>
      </c>
      <c r="O69" s="216" t="s">
        <v>2497</v>
      </c>
      <c r="R69" s="232"/>
    </row>
    <row r="70" spans="1:30">
      <c r="A70">
        <v>3</v>
      </c>
      <c r="B70">
        <f>Worksheet!BF13</f>
        <v>4.95</v>
      </c>
      <c r="C70">
        <f>Worksheet!AE13</f>
        <v>7.75</v>
      </c>
      <c r="D70">
        <f>IF(Worksheet!AA13&gt;0,(Worksheet!AA13*Worksheet!P13+8)/36,0)</f>
        <v>3.9222222222222225</v>
      </c>
      <c r="E70">
        <f>IF(Worksheet!M13&gt;0,Worksheet!AA13+1,0)</f>
        <v>2.8</v>
      </c>
      <c r="F70">
        <f ca="1">IF(Worksheet!M13&gt;0,I41+2,0)</f>
        <v>14</v>
      </c>
      <c r="H70" s="215" t="s">
        <v>2580</v>
      </c>
      <c r="I70" s="214" t="e">
        <f>IF(#REF!&gt;0,(ROUNDUP((#REF!-(#REF!+3.5))/4 +1,0))*2,ROUNDUP((#REF!-(#REF!+3.5))/4 +1,0))</f>
        <v>#REF!</v>
      </c>
      <c r="J70"/>
      <c r="K70" s="231"/>
      <c r="L70" s="204">
        <v>21</v>
      </c>
      <c r="M70" s="28" t="e">
        <f>#REF!</f>
        <v>#REF!</v>
      </c>
      <c r="P70" s="216" t="s">
        <v>2471</v>
      </c>
      <c r="R70" s="232"/>
    </row>
    <row r="71" spans="1:30">
      <c r="A71">
        <v>4</v>
      </c>
      <c r="B71">
        <f>Worksheet!BF14</f>
        <v>6.9444444444444446</v>
      </c>
      <c r="C71">
        <f>Worksheet!AE14</f>
        <v>7.833333333333333</v>
      </c>
      <c r="D71">
        <f>IF(Worksheet!AA14&gt;0,(Worksheet!AA14*Worksheet!P14+8)/36,0)</f>
        <v>5.3611111111111107</v>
      </c>
      <c r="E71">
        <f>IF(Worksheet!M14&gt;0,Worksheet!AA14+1,0)</f>
        <v>3.5</v>
      </c>
      <c r="F71">
        <f ca="1">IF(Worksheet!M14&gt;0,I42+2,0)</f>
        <v>20</v>
      </c>
      <c r="H71" s="215" t="s">
        <v>2581</v>
      </c>
      <c r="I71" s="214" t="e">
        <f>IF(#REF!&gt;0,(ROUNDUP((#REF!-(#REF!+3.5))/4 +1,0))*2,ROUNDUP((#REF!-(#REF!+3.5))/4 +1,0))</f>
        <v>#REF!</v>
      </c>
      <c r="J71"/>
      <c r="K71" s="231"/>
      <c r="L71" s="204">
        <v>22</v>
      </c>
      <c r="M71" s="28" t="e">
        <f>#REF!</f>
        <v>#REF!</v>
      </c>
      <c r="O71" s="204">
        <f>COUNTIF(M70:M99,$P72)</f>
        <v>0</v>
      </c>
      <c r="R71" s="232"/>
    </row>
    <row r="72" spans="1:30">
      <c r="A72">
        <v>5</v>
      </c>
      <c r="B72">
        <f>Worksheet!BF15</f>
        <v>6.9444444444444446</v>
      </c>
      <c r="C72">
        <f>Worksheet!AE15</f>
        <v>7.833333333333333</v>
      </c>
      <c r="D72">
        <f>IF(Worksheet!AA15&gt;0,(Worksheet!AA15*Worksheet!P15+8)/36,0)</f>
        <v>5.3611111111111107</v>
      </c>
      <c r="E72">
        <f>IF(Worksheet!M15&gt;0,Worksheet!AA15+1,0)</f>
        <v>3.5</v>
      </c>
      <c r="F72">
        <f ca="1">IF(Worksheet!M15&gt;0,I43+2,0)</f>
        <v>20</v>
      </c>
      <c r="H72" s="215" t="s">
        <v>2582</v>
      </c>
      <c r="I72" s="214" t="e">
        <f>IF(#REF!&gt;0,(ROUNDUP((#REF!-(#REF!+3.5))/4 +1,0))*2,ROUNDUP((#REF!-(#REF!+3.5))/4 +1,0))</f>
        <v>#REF!</v>
      </c>
      <c r="J72"/>
      <c r="K72" s="231"/>
      <c r="L72" s="204">
        <v>23</v>
      </c>
      <c r="M72" s="28" t="e">
        <f>#REF!</f>
        <v>#REF!</v>
      </c>
      <c r="O72" s="204">
        <f>COUNTIF(M70:M99,$P73)</f>
        <v>0</v>
      </c>
      <c r="P72" s="214" t="s">
        <v>2472</v>
      </c>
      <c r="R72" s="232"/>
    </row>
    <row r="73" spans="1:30">
      <c r="A73">
        <v>6</v>
      </c>
      <c r="B73">
        <f>Worksheet!BF16</f>
        <v>6.3888888888888884</v>
      </c>
      <c r="C73">
        <f>Worksheet!AE16</f>
        <v>7.833333333333333</v>
      </c>
      <c r="D73">
        <f>IF(Worksheet!AA16&gt;0,(Worksheet!AA16*Worksheet!P16+8)/36,0)</f>
        <v>4.9499999999999993</v>
      </c>
      <c r="E73">
        <f>IF(Worksheet!M16&gt;0,Worksheet!AA16+1,0)</f>
        <v>3.3</v>
      </c>
      <c r="F73">
        <f ca="1">IF(Worksheet!M16&gt;0,I44+2,0)</f>
        <v>18</v>
      </c>
      <c r="H73" s="215" t="s">
        <v>2583</v>
      </c>
      <c r="I73" s="214" t="e">
        <f>IF(#REF!&gt;0,(ROUNDUP((#REF!-(#REF!+3.5))/4 +1,0))*2,ROUNDUP((#REF!-(#REF!+3.5))/4 +1,0))</f>
        <v>#REF!</v>
      </c>
      <c r="J73"/>
      <c r="K73" s="231"/>
      <c r="L73" s="204">
        <v>24</v>
      </c>
      <c r="M73" s="28" t="e">
        <f>#REF!</f>
        <v>#REF!</v>
      </c>
      <c r="O73" s="204">
        <f>COUNTIF(M70:M99,$P74)</f>
        <v>0</v>
      </c>
      <c r="P73" s="214" t="s">
        <v>2478</v>
      </c>
      <c r="R73" s="232"/>
    </row>
    <row r="74" spans="1:30">
      <c r="A74">
        <v>7</v>
      </c>
      <c r="B74">
        <f>Worksheet!BF17</f>
        <v>6.8055555555555554</v>
      </c>
      <c r="C74">
        <f>Worksheet!AE17</f>
        <v>7.666666666666667</v>
      </c>
      <c r="D74">
        <f>IF(Worksheet!AA17&gt;0,(Worksheet!AA17*Worksheet!P17+8)/36,0)</f>
        <v>5.3611111111111107</v>
      </c>
      <c r="E74">
        <f>IF(Worksheet!M17&gt;0,Worksheet!AA17+1,0)</f>
        <v>3.5</v>
      </c>
      <c r="F74">
        <f ca="1">IF(Worksheet!M17&gt;0,I45+2,0)</f>
        <v>20</v>
      </c>
      <c r="H74" s="215" t="s">
        <v>2584</v>
      </c>
      <c r="I74" s="214" t="e">
        <f>IF(#REF!&gt;0,(ROUNDUP((#REF!-(#REF!+3.5))/4 +1,0))*2,ROUNDUP((#REF!-(#REF!+3.5))/4 +1,0))</f>
        <v>#REF!</v>
      </c>
      <c r="J74"/>
      <c r="K74" s="231"/>
      <c r="L74" s="204">
        <v>25</v>
      </c>
      <c r="M74" s="28" t="e">
        <f>#REF!</f>
        <v>#REF!</v>
      </c>
      <c r="O74" s="204">
        <f>COUNTIF(M70:M99,$P75)</f>
        <v>0</v>
      </c>
      <c r="P74" s="214" t="s">
        <v>2480</v>
      </c>
      <c r="R74" s="232"/>
    </row>
    <row r="75" spans="1:30">
      <c r="A75">
        <v>8</v>
      </c>
      <c r="B75">
        <f>Worksheet!BF18</f>
        <v>6.8055555555555554</v>
      </c>
      <c r="C75">
        <f>Worksheet!AE18</f>
        <v>7.666666666666667</v>
      </c>
      <c r="D75">
        <f>IF(Worksheet!AA18&gt;0,(Worksheet!AA18*Worksheet!P18+8)/36,0)</f>
        <v>5.3611111111111107</v>
      </c>
      <c r="E75">
        <f>IF(Worksheet!M18&gt;0,Worksheet!AA18+1,0)</f>
        <v>3.5</v>
      </c>
      <c r="F75">
        <f ca="1">IF(Worksheet!M18&gt;0,I46+2,0)</f>
        <v>20</v>
      </c>
      <c r="H75" s="215" t="s">
        <v>2585</v>
      </c>
      <c r="I75" s="214" t="e">
        <f>IF(#REF!&gt;0,(ROUNDUP((#REF!-(#REF!+3.5))/4 +1,0))*2,ROUNDUP((#REF!-(#REF!+3.5))/4 +1,0))</f>
        <v>#REF!</v>
      </c>
      <c r="J75"/>
      <c r="K75" s="231"/>
      <c r="L75" s="204">
        <v>26</v>
      </c>
      <c r="M75" s="28" t="e">
        <f>#REF!</f>
        <v>#REF!</v>
      </c>
      <c r="O75" s="204">
        <f>COUNTIF(M70:M99,$P76)</f>
        <v>0</v>
      </c>
      <c r="P75" s="214" t="s">
        <v>2473</v>
      </c>
      <c r="R75" s="232"/>
    </row>
    <row r="76" spans="1:30">
      <c r="A76">
        <v>9</v>
      </c>
      <c r="B76">
        <f>Worksheet!BF19</f>
        <v>6.15</v>
      </c>
      <c r="C76">
        <f>Worksheet!AE19</f>
        <v>9.75</v>
      </c>
      <c r="D76">
        <f>IF(Worksheet!AA19&gt;0,(Worksheet!AA19*Worksheet!P19+8)/36,0)</f>
        <v>3.9222222222222225</v>
      </c>
      <c r="E76">
        <f>IF(Worksheet!M19&gt;0,Worksheet!AA19+1,0)</f>
        <v>2.8</v>
      </c>
      <c r="F76">
        <f ca="1">IF(Worksheet!M19&gt;0,I47+2,0)</f>
        <v>14</v>
      </c>
      <c r="H76" s="215" t="s">
        <v>2586</v>
      </c>
      <c r="I76" s="214" t="e">
        <f>IF(#REF!&gt;0,(ROUNDUP((#REF!-(#REF!+3.5))/4 +1,0))*2,ROUNDUP((#REF!-(#REF!+3.5))/4 +1,0))</f>
        <v>#REF!</v>
      </c>
      <c r="J76"/>
      <c r="K76" s="231"/>
      <c r="L76" s="204">
        <v>27</v>
      </c>
      <c r="M76" s="28" t="e">
        <f>#REF!</f>
        <v>#REF!</v>
      </c>
      <c r="O76" s="204">
        <f>COUNTIF(M70:M99,$P77)</f>
        <v>0</v>
      </c>
      <c r="P76" s="214" t="s">
        <v>2481</v>
      </c>
      <c r="R76" s="232"/>
    </row>
    <row r="77" spans="1:30">
      <c r="A77">
        <v>10</v>
      </c>
      <c r="B77">
        <f>Worksheet!BF20</f>
        <v>6.15</v>
      </c>
      <c r="C77">
        <f>Worksheet!AE20</f>
        <v>9.75</v>
      </c>
      <c r="D77">
        <f>IF(Worksheet!AA20&gt;0,(Worksheet!AA20*Worksheet!P20+8)/36,0)</f>
        <v>3.9222222222222225</v>
      </c>
      <c r="E77">
        <f>IF(Worksheet!M20&gt;0,Worksheet!AA20+1,0)</f>
        <v>2.8</v>
      </c>
      <c r="F77">
        <f ca="1">IF(Worksheet!M20&gt;0,I48+2,0)</f>
        <v>14</v>
      </c>
      <c r="H77" s="215" t="s">
        <v>2587</v>
      </c>
      <c r="I77" s="214" t="e">
        <f>IF(#REF!&gt;0,(ROUNDUP((#REF!-(#REF!+3.5))/4 +1,0))*2,ROUNDUP((#REF!-(#REF!+3.5))/4 +1,0))</f>
        <v>#REF!</v>
      </c>
      <c r="J77"/>
      <c r="K77" s="231"/>
      <c r="L77" s="204">
        <v>28</v>
      </c>
      <c r="M77" s="28" t="e">
        <f>#REF!</f>
        <v>#REF!</v>
      </c>
      <c r="O77" s="204">
        <f>COUNTIF(M70:M99,$P78)</f>
        <v>0</v>
      </c>
      <c r="P77" s="214" t="s">
        <v>2482</v>
      </c>
      <c r="R77" s="232"/>
    </row>
    <row r="78" spans="1:30">
      <c r="A78">
        <v>11</v>
      </c>
      <c r="B78">
        <f>Worksheet!BF21</f>
        <v>6.15</v>
      </c>
      <c r="C78">
        <f>Worksheet!AE21</f>
        <v>9.75</v>
      </c>
      <c r="D78">
        <f>IF(Worksheet!AA21&gt;0,(Worksheet!AA21*Worksheet!P21+8)/36,0)</f>
        <v>3.9222222222222225</v>
      </c>
      <c r="E78">
        <f>IF(Worksheet!M21&gt;0,Worksheet!AA21+1,0)</f>
        <v>2.8</v>
      </c>
      <c r="F78">
        <f ca="1">IF(Worksheet!M21&gt;0,I49+2,0)</f>
        <v>14</v>
      </c>
      <c r="H78" s="215" t="s">
        <v>2588</v>
      </c>
      <c r="I78" s="214" t="e">
        <f>IF(#REF!&gt;0,(ROUNDUP((#REF!-(#REF!+3.5))/4 +1,0))*2,ROUNDUP((#REF!-(#REF!+3.5))/4 +1,0))</f>
        <v>#REF!</v>
      </c>
      <c r="J78"/>
      <c r="K78" s="231"/>
      <c r="L78" s="204">
        <v>29</v>
      </c>
      <c r="M78" s="28" t="e">
        <f>#REF!</f>
        <v>#REF!</v>
      </c>
      <c r="O78" s="204">
        <f>COUNTIF(M70:M99,$P79)</f>
        <v>0</v>
      </c>
      <c r="P78" s="214" t="s">
        <v>2474</v>
      </c>
      <c r="R78" s="232"/>
    </row>
    <row r="79" spans="1:30">
      <c r="A79">
        <v>12</v>
      </c>
      <c r="B79">
        <f>Worksheet!BF22</f>
        <v>6.15</v>
      </c>
      <c r="C79">
        <f>Worksheet!AE22</f>
        <v>9.75</v>
      </c>
      <c r="D79">
        <f>IF(Worksheet!AA22&gt;0,(Worksheet!AA22*Worksheet!P22+8)/36,0)</f>
        <v>3.9222222222222225</v>
      </c>
      <c r="E79">
        <f>IF(Worksheet!M22&gt;0,Worksheet!AA22+1,0)</f>
        <v>2.8</v>
      </c>
      <c r="F79">
        <f ca="1">IF(Worksheet!M22&gt;0,I50+2,0)</f>
        <v>14</v>
      </c>
      <c r="H79" s="215" t="s">
        <v>2509</v>
      </c>
      <c r="I79" s="214" t="e">
        <f>IF(#REF!&gt;0,(ROUNDUP((#REF!-(#REF!+3.5))/4 +1,0))*2,ROUNDUP((#REF!-(#REF!+3.5))/4 +1,0))</f>
        <v>#REF!</v>
      </c>
      <c r="J79"/>
      <c r="K79" s="231"/>
      <c r="L79" s="204">
        <v>30</v>
      </c>
      <c r="M79" s="28" t="e">
        <f>#REF!</f>
        <v>#REF!</v>
      </c>
      <c r="O79" s="204">
        <f>COUNTIF(M70:M99,$P80)</f>
        <v>0</v>
      </c>
      <c r="P79" s="214" t="s">
        <v>2483</v>
      </c>
      <c r="R79" s="232"/>
    </row>
    <row r="80" spans="1:30">
      <c r="A80">
        <v>13</v>
      </c>
      <c r="B80">
        <f>Worksheet!BF23</f>
        <v>12.7</v>
      </c>
      <c r="C80">
        <f>Worksheet!AE23</f>
        <v>20.666666666666668</v>
      </c>
      <c r="D80">
        <f>IF(Worksheet!AA23&gt;0,(Worksheet!AA23*Worksheet!P23+8)/36,0)</f>
        <v>3.9222222222222225</v>
      </c>
      <c r="E80">
        <f>IF(Worksheet!M23&gt;0,Worksheet!AA23+1,0)</f>
        <v>2.8</v>
      </c>
      <c r="F80">
        <f ca="1">IF(Worksheet!M23&gt;0,I51+2,0)</f>
        <v>14</v>
      </c>
      <c r="H80" s="215" t="s">
        <v>2510</v>
      </c>
      <c r="I80" s="214" t="e">
        <f>IF(#REF!&gt;0,(ROUNDUP((#REF!-(#REF!+3.5))/4 +1,0))*2,ROUNDUP((#REF!-(#REF!+3.5))/4 +1,0))</f>
        <v>#REF!</v>
      </c>
      <c r="J80"/>
      <c r="K80" s="231"/>
      <c r="L80" s="204">
        <v>31</v>
      </c>
      <c r="M80" s="28" t="e">
        <f>#REF!</f>
        <v>#REF!</v>
      </c>
      <c r="O80" s="204">
        <f>COUNTIF(M70:M99,$P81)</f>
        <v>0</v>
      </c>
      <c r="P80" s="214" t="s">
        <v>2484</v>
      </c>
      <c r="R80" s="232"/>
    </row>
    <row r="81" spans="1:23">
      <c r="A81">
        <v>14</v>
      </c>
      <c r="B81">
        <f>Worksheet!BF24</f>
        <v>12.7</v>
      </c>
      <c r="C81">
        <f>Worksheet!AE24</f>
        <v>20.666666666666668</v>
      </c>
      <c r="D81">
        <f>IF(Worksheet!AA24&gt;0,(Worksheet!AA24*Worksheet!P24+8)/36,0)</f>
        <v>3.9222222222222225</v>
      </c>
      <c r="E81">
        <f>IF(Worksheet!M24&gt;0,Worksheet!AA24+1,0)</f>
        <v>2.8</v>
      </c>
      <c r="F81">
        <f ca="1">IF(Worksheet!M24&gt;0,I52+2,0)</f>
        <v>14</v>
      </c>
      <c r="H81" s="215" t="s">
        <v>2511</v>
      </c>
      <c r="I81" s="214" t="e">
        <f>IF(#REF!&gt;0,(ROUNDUP((#REF!-(#REF!+3.5))/4 +1,0))*2,ROUNDUP((#REF!-(#REF!+3.5))/4 +1,0))</f>
        <v>#REF!</v>
      </c>
      <c r="J81"/>
      <c r="K81" s="231"/>
      <c r="L81" s="204">
        <v>32</v>
      </c>
      <c r="M81" s="28" t="e">
        <f>#REF!</f>
        <v>#REF!</v>
      </c>
      <c r="O81" s="204">
        <f>COUNTIF(M70:M99,$P82)</f>
        <v>0</v>
      </c>
      <c r="P81" s="214" t="s">
        <v>2475</v>
      </c>
      <c r="R81" s="232"/>
    </row>
    <row r="82" spans="1:23">
      <c r="A82">
        <v>15</v>
      </c>
      <c r="B82">
        <f>Worksheet!BF25</f>
        <v>8.1000000000000014</v>
      </c>
      <c r="C82">
        <f>Worksheet!AE25</f>
        <v>13</v>
      </c>
      <c r="D82">
        <f>IF(Worksheet!AA25&gt;0,(Worksheet!AA25*Worksheet!P25+8)/36,0)</f>
        <v>3.9222222222222225</v>
      </c>
      <c r="E82">
        <f>IF(Worksheet!M25&gt;0,Worksheet!AA25+1,0)</f>
        <v>2.8</v>
      </c>
      <c r="F82">
        <f ca="1">IF(Worksheet!M25&gt;0,I53+2,0)</f>
        <v>14</v>
      </c>
      <c r="H82" s="215" t="s">
        <v>2512</v>
      </c>
      <c r="I82" s="214" t="e">
        <f>IF(#REF!&gt;0,(ROUNDUP((#REF!-(#REF!+3.5))/4 +1,0))*2,ROUNDUP((#REF!-(#REF!+3.5))/4 +1,0))</f>
        <v>#REF!</v>
      </c>
      <c r="J82"/>
      <c r="K82" s="231"/>
      <c r="L82" s="204">
        <v>33</v>
      </c>
      <c r="M82" s="28" t="e">
        <f>#REF!</f>
        <v>#REF!</v>
      </c>
      <c r="O82" s="204">
        <f>COUNTIF(M70:M99,$P83)</f>
        <v>0</v>
      </c>
      <c r="P82" s="214" t="s">
        <v>2485</v>
      </c>
      <c r="R82" s="232"/>
    </row>
    <row r="83" spans="1:23">
      <c r="A83">
        <v>16</v>
      </c>
      <c r="B83">
        <f>Worksheet!BF26</f>
        <v>8.1000000000000014</v>
      </c>
      <c r="C83">
        <f>Worksheet!AE26</f>
        <v>13</v>
      </c>
      <c r="D83">
        <f>IF(Worksheet!AA26&gt;0,(Worksheet!AA26*Worksheet!P26+8)/36,0)</f>
        <v>3.9222222222222225</v>
      </c>
      <c r="E83">
        <f>IF(Worksheet!M26&gt;0,Worksheet!AA26+1,0)</f>
        <v>2.8</v>
      </c>
      <c r="F83">
        <f ca="1">IF(Worksheet!M26&gt;0,I54+2,0)</f>
        <v>14</v>
      </c>
      <c r="H83" s="215" t="s">
        <v>2513</v>
      </c>
      <c r="I83" s="214" t="e">
        <f>IF(#REF!&gt;0,(ROUNDUP((#REF!-(#REF!+3.5))/4 +1,0))*2,ROUNDUP((#REF!-(#REF!+3.5))/4 +1,0))</f>
        <v>#REF!</v>
      </c>
      <c r="J83"/>
      <c r="K83" s="231"/>
      <c r="L83" s="204">
        <v>34</v>
      </c>
      <c r="M83" s="28" t="e">
        <f>#REF!</f>
        <v>#REF!</v>
      </c>
      <c r="O83" s="204">
        <f>COUNTIF(M70:M99,$P84)</f>
        <v>0</v>
      </c>
      <c r="P83" s="214" t="s">
        <v>2486</v>
      </c>
      <c r="R83" s="232"/>
    </row>
    <row r="84" spans="1:23">
      <c r="A84">
        <v>17</v>
      </c>
      <c r="B84">
        <f>Worksheet!BF27</f>
        <v>7.4111111111111097</v>
      </c>
      <c r="C84">
        <f>Worksheet!AE27</f>
        <v>9.1666666666666661</v>
      </c>
      <c r="D84">
        <f>IF(Worksheet!AA27&gt;0,(Worksheet!AA27*Worksheet!P27+8)/36,0)</f>
        <v>4.9499999999999993</v>
      </c>
      <c r="E84">
        <f>IF(Worksheet!M27&gt;0,Worksheet!AA27+1,0)</f>
        <v>3.3</v>
      </c>
      <c r="F84">
        <f ca="1">IF(Worksheet!M27&gt;0,I55+2,0)</f>
        <v>18</v>
      </c>
      <c r="H84" s="215" t="s">
        <v>2514</v>
      </c>
      <c r="I84" s="214" t="e">
        <f>IF(#REF!&gt;0,(ROUNDUP((#REF!-(#REF!+3.5))/4 +1,0))*2,ROUNDUP((#REF!-(#REF!+3.5))/4 +1,0))</f>
        <v>#REF!</v>
      </c>
      <c r="J84"/>
      <c r="K84" s="231"/>
      <c r="L84" s="204">
        <v>35</v>
      </c>
      <c r="M84" s="28" t="e">
        <f>#REF!</f>
        <v>#REF!</v>
      </c>
      <c r="O84" s="204">
        <f>COUNTIF(M70:M99,$P85)</f>
        <v>0</v>
      </c>
      <c r="P84" s="214" t="s">
        <v>2476</v>
      </c>
      <c r="R84" s="232"/>
    </row>
    <row r="85" spans="1:23">
      <c r="A85">
        <v>18</v>
      </c>
      <c r="B85">
        <f>Worksheet!BF28</f>
        <v>7.4111111111111097</v>
      </c>
      <c r="C85">
        <f>Worksheet!AE28</f>
        <v>9.1666666666666661</v>
      </c>
      <c r="D85">
        <f>IF(Worksheet!AA28&gt;0,(Worksheet!AA28*Worksheet!P28+8)/36,0)</f>
        <v>4.9499999999999993</v>
      </c>
      <c r="E85">
        <f>IF(Worksheet!M28&gt;0,Worksheet!AA28+1,0)</f>
        <v>3.3</v>
      </c>
      <c r="F85">
        <f ca="1">IF(Worksheet!M28&gt;0,I56+2,0)</f>
        <v>18</v>
      </c>
      <c r="H85" s="215" t="s">
        <v>2515</v>
      </c>
      <c r="I85" s="214" t="e">
        <f>IF(#REF!&gt;0,(ROUNDUP((#REF!-(#REF!+3.5))/4 +1,0))*2,ROUNDUP((#REF!-(#REF!+3.5))/4 +1,0))</f>
        <v>#REF!</v>
      </c>
      <c r="J85"/>
      <c r="K85" s="231"/>
      <c r="L85" s="204">
        <v>36</v>
      </c>
      <c r="M85" s="28" t="e">
        <f>#REF!</f>
        <v>#REF!</v>
      </c>
      <c r="O85" s="204">
        <f>COUNTIF(M70:M99,$P86)</f>
        <v>0</v>
      </c>
      <c r="P85" s="214" t="s">
        <v>2477</v>
      </c>
      <c r="R85" s="232"/>
    </row>
    <row r="86" spans="1:23">
      <c r="A86">
        <v>19</v>
      </c>
      <c r="B86">
        <f>Worksheet!BF29</f>
        <v>6</v>
      </c>
      <c r="C86">
        <f>Worksheet!AE29</f>
        <v>9.5</v>
      </c>
      <c r="D86">
        <f>IF(Worksheet!AA29&gt;0,(Worksheet!AA29*Worksheet!P29+8)/36,0)</f>
        <v>3.9222222222222225</v>
      </c>
      <c r="E86">
        <f>IF(Worksheet!M29&gt;0,Worksheet!AA29+1,0)</f>
        <v>2.8</v>
      </c>
      <c r="F86">
        <f ca="1">IF(Worksheet!M29&gt;0,I57+2,0)</f>
        <v>15</v>
      </c>
      <c r="H86" s="215" t="s">
        <v>2516</v>
      </c>
      <c r="I86" s="214" t="e">
        <f>IF(#REF!&gt;0,(ROUNDUP((#REF!-(#REF!+3.5))/4 +1,0))*2,ROUNDUP((#REF!-(#REF!+3.5))/4 +1,0))</f>
        <v>#REF!</v>
      </c>
      <c r="J86"/>
      <c r="K86" s="231"/>
      <c r="L86" s="204">
        <v>37</v>
      </c>
      <c r="M86" s="28" t="e">
        <f>#REF!</f>
        <v>#REF!</v>
      </c>
      <c r="O86" s="204">
        <f>COUNTIF(M70:M99,$P87)</f>
        <v>0</v>
      </c>
      <c r="P86" s="214" t="s">
        <v>2479</v>
      </c>
      <c r="R86" s="232"/>
    </row>
    <row r="87" spans="1:23">
      <c r="A87">
        <v>20</v>
      </c>
      <c r="B87">
        <f>Worksheet!BF30</f>
        <v>6.9444444444444446</v>
      </c>
      <c r="C87">
        <f>Worksheet!AE30</f>
        <v>7.833333333333333</v>
      </c>
      <c r="D87">
        <f>IF(Worksheet!AA30&gt;0,(Worksheet!AA30*Worksheet!P30+8)/36,0)</f>
        <v>5.3611111111111107</v>
      </c>
      <c r="E87">
        <f>IF(Worksheet!M30&gt;0,Worksheet!AA30+1,0)</f>
        <v>3.5</v>
      </c>
      <c r="F87">
        <f ca="1">IF(Worksheet!M30&gt;0,I58+2,0)</f>
        <v>20</v>
      </c>
      <c r="H87" s="215" t="s">
        <v>2517</v>
      </c>
      <c r="I87" s="214" t="e">
        <f>IF(#REF!&gt;0,(ROUNDUP((#REF!-(#REF!+3.5))/4 +1,0))*2,ROUNDUP((#REF!-(#REF!+3.5))/4 +1,0))</f>
        <v>#REF!</v>
      </c>
      <c r="J87"/>
      <c r="K87" s="231"/>
      <c r="L87" s="204">
        <v>38</v>
      </c>
      <c r="M87" s="28" t="e">
        <f>#REF!</f>
        <v>#REF!</v>
      </c>
      <c r="O87" s="204">
        <f>COUNTIF(M70:M99,$P88)</f>
        <v>0</v>
      </c>
      <c r="P87" s="214" t="s">
        <v>2490</v>
      </c>
      <c r="R87" s="232"/>
    </row>
    <row r="88" spans="1:23">
      <c r="A88">
        <v>21</v>
      </c>
      <c r="B88" t="e">
        <f>IF(#REF!&gt;0,#REF!+1,0)</f>
        <v>#REF!</v>
      </c>
      <c r="C88" t="e">
        <f>IF(#REF!&gt;0,#REF!+1,0)</f>
        <v>#REF!</v>
      </c>
      <c r="D88" t="e">
        <f>IF(#REF!&gt;0,#REF!+1,0)</f>
        <v>#REF!</v>
      </c>
      <c r="E88" t="e">
        <f>IF(#REF!&gt;0,#REF!+1,0)</f>
        <v>#REF!</v>
      </c>
      <c r="F88">
        <f>IF(Worksheet!M7&gt;0,I59+2,0)</f>
        <v>0</v>
      </c>
      <c r="H88" s="215" t="s">
        <v>2518</v>
      </c>
      <c r="I88" s="214" t="e">
        <f>IF(#REF!&gt;0,(ROUNDUP((#REF!-(#REF!+3.5))/4 +1,0))*2,ROUNDUP((#REF!-(#REF!+3.5))/4 +1,0))</f>
        <v>#REF!</v>
      </c>
      <c r="J88"/>
      <c r="K88" s="231"/>
      <c r="L88" s="204">
        <v>39</v>
      </c>
      <c r="M88" s="28" t="e">
        <f>#REF!</f>
        <v>#REF!</v>
      </c>
      <c r="O88" s="204">
        <f>COUNTIF(M70:M99,$P89)</f>
        <v>0</v>
      </c>
      <c r="P88" s="214" t="s">
        <v>2491</v>
      </c>
      <c r="R88" s="232"/>
    </row>
    <row r="89" spans="1:23">
      <c r="A89">
        <v>22</v>
      </c>
      <c r="B89" t="e">
        <f>IF(#REF!&gt;0,#REF!+1,0)</f>
        <v>#REF!</v>
      </c>
      <c r="C89" t="e">
        <f>IF(#REF!&gt;0,#REF!+1,0)</f>
        <v>#REF!</v>
      </c>
      <c r="D89" t="e">
        <f>IF(#REF!&gt;0,#REF!+1,0)</f>
        <v>#REF!</v>
      </c>
      <c r="E89" t="e">
        <f>IF(#REF!&gt;0,#REF!+1,0)</f>
        <v>#REF!</v>
      </c>
      <c r="F89">
        <f>IF(Worksheet!M8&gt;0,I60+2,0)</f>
        <v>0</v>
      </c>
      <c r="H89"/>
      <c r="K89" s="231"/>
      <c r="L89" s="204">
        <v>40</v>
      </c>
      <c r="M89" s="28" t="e">
        <f>#REF!</f>
        <v>#REF!</v>
      </c>
      <c r="O89" s="204">
        <f>COUNTIF(M70:M99,$P90)</f>
        <v>0</v>
      </c>
      <c r="P89" s="214" t="s">
        <v>2492</v>
      </c>
      <c r="R89" s="232"/>
      <c r="V89" s="213"/>
      <c r="W89" s="213"/>
    </row>
    <row r="90" spans="1:23">
      <c r="A90">
        <v>23</v>
      </c>
      <c r="B90" t="e">
        <f>IF(#REF!&gt;0,#REF!+1,0)</f>
        <v>#REF!</v>
      </c>
      <c r="C90" t="e">
        <f>IF(#REF!&gt;0,#REF!+1,0)</f>
        <v>#REF!</v>
      </c>
      <c r="D90" t="e">
        <f>IF(#REF!&gt;0,#REF!+1,0)</f>
        <v>#REF!</v>
      </c>
      <c r="E90" t="e">
        <f>IF(#REF!&gt;0,#REF!+1,0)</f>
        <v>#REF!</v>
      </c>
      <c r="F90">
        <f>IF(Worksheet!M9&gt;0,I61+2,0)</f>
        <v>0</v>
      </c>
      <c r="G90"/>
      <c r="H90"/>
      <c r="K90" s="231"/>
      <c r="L90" s="204">
        <v>41</v>
      </c>
      <c r="M90" s="28" t="e">
        <f>#REF!</f>
        <v>#REF!</v>
      </c>
      <c r="O90" s="204">
        <f>COUNTIF(M70:M99,$P91)</f>
        <v>0</v>
      </c>
      <c r="P90" s="214" t="s">
        <v>2493</v>
      </c>
      <c r="R90" s="232"/>
      <c r="V90" t="s">
        <v>2468</v>
      </c>
      <c r="W90" t="s">
        <v>2467</v>
      </c>
    </row>
    <row r="91" spans="1:23">
      <c r="A91">
        <v>24</v>
      </c>
      <c r="B91" t="e">
        <f>IF(#REF!&gt;0,#REF!+1,0)</f>
        <v>#REF!</v>
      </c>
      <c r="C91" t="e">
        <f>IF(#REF!&gt;0,#REF!+1,0)</f>
        <v>#REF!</v>
      </c>
      <c r="D91" t="e">
        <f>IF(#REF!&gt;0,#REF!+1,0)</f>
        <v>#REF!</v>
      </c>
      <c r="E91" t="e">
        <f>IF(#REF!&gt;0,#REF!+1,0)</f>
        <v>#REF!</v>
      </c>
      <c r="F91">
        <f>IF(Worksheet!M10&gt;0,I62+2,0)</f>
        <v>0</v>
      </c>
      <c r="G91"/>
      <c r="H91"/>
      <c r="I91"/>
      <c r="J91"/>
      <c r="K91" s="231"/>
      <c r="L91" s="204">
        <v>42</v>
      </c>
      <c r="M91" s="28" t="e">
        <f>#REF!</f>
        <v>#REF!</v>
      </c>
      <c r="O91" s="204">
        <f>COUNTIF(M70:M99,$P92)</f>
        <v>0</v>
      </c>
      <c r="P91" s="214" t="s">
        <v>2494</v>
      </c>
      <c r="R91" s="232"/>
    </row>
    <row r="92" spans="1:23">
      <c r="A92">
        <v>25</v>
      </c>
      <c r="B92" t="e">
        <f>IF(#REF!&gt;0,#REF!+1,0)</f>
        <v>#REF!</v>
      </c>
      <c r="C92" t="e">
        <f>IF(#REF!&gt;0,#REF!+1,0)</f>
        <v>#REF!</v>
      </c>
      <c r="D92" t="e">
        <f>IF(#REF!&gt;0,#REF!+1,0)</f>
        <v>#REF!</v>
      </c>
      <c r="E92" t="e">
        <f>IF(#REF!&gt;0,#REF!+1,0)</f>
        <v>#REF!</v>
      </c>
      <c r="F92" t="e">
        <f>IF(Worksheet!M11&gt;0,I63+2,0)</f>
        <v>#REF!</v>
      </c>
      <c r="G92"/>
      <c r="H92"/>
      <c r="I92"/>
      <c r="J92"/>
      <c r="K92" s="231"/>
      <c r="L92" s="204">
        <v>43</v>
      </c>
      <c r="M92" s="28" t="e">
        <f>#REF!</f>
        <v>#REF!</v>
      </c>
      <c r="O92" s="204">
        <f>COUNTIF(M70:M99,$P93)</f>
        <v>0</v>
      </c>
      <c r="P92" s="214" t="s">
        <v>2495</v>
      </c>
      <c r="R92" s="232"/>
    </row>
    <row r="93" spans="1:23">
      <c r="A93">
        <v>26</v>
      </c>
      <c r="B93" t="e">
        <f>IF(#REF!&gt;0,#REF!+1,0)</f>
        <v>#REF!</v>
      </c>
      <c r="C93" t="e">
        <f>IF(#REF!&gt;0,#REF!+1,0)</f>
        <v>#REF!</v>
      </c>
      <c r="D93" t="e">
        <f>IF(#REF!&gt;0,#REF!+1,0)</f>
        <v>#REF!</v>
      </c>
      <c r="E93" t="e">
        <f>IF(#REF!&gt;0,#REF!+1,0)</f>
        <v>#REF!</v>
      </c>
      <c r="F93" t="e">
        <f>IF(Worksheet!M12&gt;0,I64+2,0)</f>
        <v>#REF!</v>
      </c>
      <c r="G93"/>
      <c r="H93"/>
      <c r="I93"/>
      <c r="J93"/>
      <c r="K93" s="264"/>
      <c r="L93" s="204">
        <v>44</v>
      </c>
      <c r="M93" s="28" t="e">
        <f>#REF!</f>
        <v>#REF!</v>
      </c>
      <c r="N93"/>
      <c r="P93" s="214" t="s">
        <v>2488</v>
      </c>
      <c r="R93" s="232"/>
    </row>
    <row r="94" spans="1:23">
      <c r="A94">
        <v>27</v>
      </c>
      <c r="B94" t="e">
        <f>IF(#REF!&gt;0,#REF!+1,0)</f>
        <v>#REF!</v>
      </c>
      <c r="C94" t="e">
        <f>IF(#REF!&gt;0,#REF!+1,0)</f>
        <v>#REF!</v>
      </c>
      <c r="D94" t="e">
        <f>IF(#REF!&gt;0,#REF!+1,0)</f>
        <v>#REF!</v>
      </c>
      <c r="E94" t="e">
        <f>IF(#REF!&gt;0,#REF!+1,0)</f>
        <v>#REF!</v>
      </c>
      <c r="F94" t="e">
        <f>IF(Worksheet!M13&gt;0,I65+2,0)</f>
        <v>#REF!</v>
      </c>
      <c r="K94" s="231"/>
      <c r="L94" s="204">
        <v>45</v>
      </c>
      <c r="M94" s="28" t="e">
        <f>#REF!</f>
        <v>#REF!</v>
      </c>
      <c r="R94" s="232"/>
    </row>
    <row r="95" spans="1:23">
      <c r="A95">
        <v>28</v>
      </c>
      <c r="B95" t="e">
        <f>IF(#REF!&gt;0,#REF!+1,0)</f>
        <v>#REF!</v>
      </c>
      <c r="C95" t="e">
        <f>IF(#REF!&gt;0,#REF!+1,0)</f>
        <v>#REF!</v>
      </c>
      <c r="D95" t="e">
        <f>IF(#REF!&gt;0,#REF!+1,0)</f>
        <v>#REF!</v>
      </c>
      <c r="E95" t="e">
        <f>IF(#REF!&gt;0,#REF!+1,0)</f>
        <v>#REF!</v>
      </c>
      <c r="F95" t="e">
        <f>IF(Worksheet!M14&gt;0,I66+2,0)</f>
        <v>#REF!</v>
      </c>
      <c r="K95" s="231"/>
      <c r="L95" s="204">
        <v>46</v>
      </c>
      <c r="M95" s="28" t="e">
        <f>#REF!</f>
        <v>#REF!</v>
      </c>
      <c r="R95" s="232"/>
    </row>
    <row r="96" spans="1:23">
      <c r="A96">
        <v>29</v>
      </c>
      <c r="B96" t="e">
        <f>IF(#REF!&gt;0,#REF!+1,0)</f>
        <v>#REF!</v>
      </c>
      <c r="C96" t="e">
        <f>IF(#REF!&gt;0,#REF!+1,0)</f>
        <v>#REF!</v>
      </c>
      <c r="D96" t="e">
        <f>IF(#REF!&gt;0,#REF!+1,0)</f>
        <v>#REF!</v>
      </c>
      <c r="E96" t="e">
        <f>IF(#REF!&gt;0,#REF!+1,0)</f>
        <v>#REF!</v>
      </c>
      <c r="F96" t="e">
        <f>IF(Worksheet!M15&gt;0,I67+2,0)</f>
        <v>#REF!</v>
      </c>
      <c r="K96" s="231"/>
      <c r="L96" s="204">
        <v>47</v>
      </c>
      <c r="M96" s="28" t="e">
        <f>#REF!</f>
        <v>#REF!</v>
      </c>
      <c r="R96" s="232"/>
    </row>
    <row r="97" spans="1:18">
      <c r="A97">
        <v>30</v>
      </c>
      <c r="B97" t="e">
        <f>IF(#REF!&gt;0,#REF!+1,0)</f>
        <v>#REF!</v>
      </c>
      <c r="C97" t="e">
        <f>IF(#REF!&gt;0,#REF!+1,0)</f>
        <v>#REF!</v>
      </c>
      <c r="D97" t="e">
        <f>IF(#REF!&gt;0,#REF!+1,0)</f>
        <v>#REF!</v>
      </c>
      <c r="E97" t="e">
        <f>IF(#REF!&gt;0,#REF!+1,0)</f>
        <v>#REF!</v>
      </c>
      <c r="F97" t="e">
        <f>IF(Worksheet!M16&gt;0,I68+2,0)</f>
        <v>#REF!</v>
      </c>
      <c r="K97" s="231"/>
      <c r="L97" s="204">
        <v>48</v>
      </c>
      <c r="M97" s="28" t="e">
        <f>#REF!</f>
        <v>#REF!</v>
      </c>
      <c r="R97" s="232"/>
    </row>
    <row r="98" spans="1:18">
      <c r="A98">
        <v>31</v>
      </c>
      <c r="B98" t="e">
        <f>IF(#REF!&gt;0,#REF!+1,0)</f>
        <v>#REF!</v>
      </c>
      <c r="C98" t="e">
        <f>IF(#REF!&gt;0,#REF!+1,0)</f>
        <v>#REF!</v>
      </c>
      <c r="D98" t="e">
        <f>IF(#REF!&gt;0,#REF!+1,0)</f>
        <v>#REF!</v>
      </c>
      <c r="E98" t="e">
        <f>IF(#REF!&gt;0,#REF!+1,0)</f>
        <v>#REF!</v>
      </c>
      <c r="F98" t="e">
        <f>IF(Worksheet!M17&gt;0,I69+2,0)</f>
        <v>#REF!</v>
      </c>
      <c r="K98" s="231"/>
      <c r="L98" s="204">
        <v>49</v>
      </c>
      <c r="M98" s="28" t="e">
        <f>#REF!</f>
        <v>#REF!</v>
      </c>
      <c r="R98" s="232"/>
    </row>
    <row r="99" spans="1:18">
      <c r="A99">
        <v>32</v>
      </c>
      <c r="B99" t="e">
        <f>IF(#REF!&gt;0,#REF!+1,0)</f>
        <v>#REF!</v>
      </c>
      <c r="C99" t="e">
        <f>IF(#REF!&gt;0,#REF!+1,0)</f>
        <v>#REF!</v>
      </c>
      <c r="D99" t="e">
        <f>IF(#REF!&gt;0,#REF!+1,0)</f>
        <v>#REF!</v>
      </c>
      <c r="E99" t="e">
        <f>IF(#REF!&gt;0,#REF!+1,0)</f>
        <v>#REF!</v>
      </c>
      <c r="F99" t="e">
        <f>IF(Worksheet!M18&gt;0,I70+2,0)</f>
        <v>#REF!</v>
      </c>
      <c r="K99" s="231"/>
      <c r="L99" s="204">
        <v>50</v>
      </c>
      <c r="M99" s="28" t="e">
        <f>#REF!</f>
        <v>#REF!</v>
      </c>
      <c r="R99" s="232"/>
    </row>
    <row r="100" spans="1:18" ht="13.5" thickBot="1">
      <c r="A100">
        <v>33</v>
      </c>
      <c r="B100" t="e">
        <f>IF(#REF!&gt;0,#REF!+1,0)</f>
        <v>#REF!</v>
      </c>
      <c r="C100" t="e">
        <f>IF(#REF!&gt;0,#REF!+1,0)</f>
        <v>#REF!</v>
      </c>
      <c r="D100" t="e">
        <f>IF(#REF!&gt;0,#REF!+1,0)</f>
        <v>#REF!</v>
      </c>
      <c r="E100" t="e">
        <f>IF(#REF!&gt;0,#REF!+1,0)</f>
        <v>#REF!</v>
      </c>
      <c r="F100" t="e">
        <f>IF(Worksheet!M19&gt;0,I71+2,0)</f>
        <v>#REF!</v>
      </c>
      <c r="K100" s="233"/>
      <c r="L100" s="234"/>
      <c r="M100" s="234"/>
      <c r="N100" s="234"/>
      <c r="O100" s="234"/>
      <c r="Q100" s="234"/>
      <c r="R100" s="235"/>
    </row>
    <row r="101" spans="1:18" ht="13.5" thickBot="1">
      <c r="A101">
        <v>34</v>
      </c>
      <c r="B101" t="e">
        <f>IF(#REF!&gt;0,#REF!+1,0)</f>
        <v>#REF!</v>
      </c>
      <c r="C101" t="e">
        <f>IF(#REF!&gt;0,#REF!+1,0)</f>
        <v>#REF!</v>
      </c>
      <c r="D101" t="e">
        <f>IF(#REF!&gt;0,#REF!+1,0)</f>
        <v>#REF!</v>
      </c>
      <c r="E101" t="e">
        <f>IF(#REF!&gt;0,#REF!+1,0)</f>
        <v>#REF!</v>
      </c>
      <c r="F101" t="e">
        <f>IF(Worksheet!M20&gt;0,I72+2,0)</f>
        <v>#REF!</v>
      </c>
      <c r="P101" s="234"/>
    </row>
    <row r="102" spans="1:18">
      <c r="A102">
        <v>35</v>
      </c>
      <c r="B102" t="e">
        <f>IF(#REF!&gt;0,#REF!+1,0)</f>
        <v>#REF!</v>
      </c>
      <c r="C102" t="e">
        <f>IF(#REF!&gt;0,#REF!+1,0)</f>
        <v>#REF!</v>
      </c>
      <c r="D102" t="e">
        <f>IF(#REF!&gt;0,#REF!+1,0)</f>
        <v>#REF!</v>
      </c>
      <c r="E102" t="e">
        <f>IF(#REF!&gt;0,#REF!+1,0)</f>
        <v>#REF!</v>
      </c>
      <c r="F102" t="e">
        <f>IF(Worksheet!M21&gt;0,I73+2,0)</f>
        <v>#REF!</v>
      </c>
    </row>
    <row r="103" spans="1:18">
      <c r="A103">
        <v>36</v>
      </c>
      <c r="B103" t="e">
        <f>IF(#REF!&gt;0,#REF!+1,0)</f>
        <v>#REF!</v>
      </c>
      <c r="C103" t="e">
        <f>IF(#REF!&gt;0,#REF!+1,0)</f>
        <v>#REF!</v>
      </c>
      <c r="D103" t="e">
        <f>IF(#REF!&gt;0,#REF!+1,0)</f>
        <v>#REF!</v>
      </c>
      <c r="E103" t="e">
        <f>IF(#REF!&gt;0,#REF!+1,0)</f>
        <v>#REF!</v>
      </c>
      <c r="F103" t="e">
        <f>IF(Worksheet!M22&gt;0,I74+2,0)</f>
        <v>#REF!</v>
      </c>
    </row>
    <row r="104" spans="1:18">
      <c r="A104">
        <v>37</v>
      </c>
      <c r="B104" t="e">
        <f>IF(#REF!&gt;0,#REF!+1,0)</f>
        <v>#REF!</v>
      </c>
      <c r="C104" t="e">
        <f>IF(#REF!&gt;0,#REF!+1,0)</f>
        <v>#REF!</v>
      </c>
      <c r="D104" t="e">
        <f>IF(#REF!&gt;0,#REF!+1,0)</f>
        <v>#REF!</v>
      </c>
      <c r="E104" t="e">
        <f>IF(#REF!&gt;0,#REF!+1,0)</f>
        <v>#REF!</v>
      </c>
      <c r="F104" t="e">
        <f>IF(Worksheet!M23&gt;0,I75+2,0)</f>
        <v>#REF!</v>
      </c>
    </row>
    <row r="105" spans="1:18">
      <c r="A105">
        <v>38</v>
      </c>
      <c r="B105" t="e">
        <f>IF(#REF!&gt;0,#REF!+1,0)</f>
        <v>#REF!</v>
      </c>
      <c r="C105" t="e">
        <f>IF(#REF!&gt;0,#REF!+1,0)</f>
        <v>#REF!</v>
      </c>
      <c r="D105" t="e">
        <f>IF(#REF!&gt;0,#REF!+1,0)</f>
        <v>#REF!</v>
      </c>
      <c r="E105" t="e">
        <f>IF(#REF!&gt;0,#REF!+1,0)</f>
        <v>#REF!</v>
      </c>
      <c r="F105" t="e">
        <f>IF(Worksheet!M24&gt;0,I76+2,0)</f>
        <v>#REF!</v>
      </c>
    </row>
    <row r="106" spans="1:18">
      <c r="A106">
        <v>39</v>
      </c>
      <c r="B106" t="e">
        <f>IF(#REF!&gt;0,#REF!+1,0)</f>
        <v>#REF!</v>
      </c>
      <c r="C106" t="e">
        <f>IF(#REF!&gt;0,#REF!+1,0)</f>
        <v>#REF!</v>
      </c>
      <c r="D106" t="e">
        <f>IF(#REF!&gt;0,#REF!+1,0)</f>
        <v>#REF!</v>
      </c>
      <c r="E106" t="e">
        <f>IF(#REF!&gt;0,#REF!+1,0)</f>
        <v>#REF!</v>
      </c>
      <c r="F106" t="e">
        <f>IF(Worksheet!M25&gt;0,I77+2,0)</f>
        <v>#REF!</v>
      </c>
    </row>
    <row r="107" spans="1:18">
      <c r="A107">
        <v>40</v>
      </c>
      <c r="B107" t="e">
        <f>IF(#REF!&gt;0,#REF!+1,0)</f>
        <v>#REF!</v>
      </c>
      <c r="C107" t="e">
        <f>IF(#REF!&gt;0,#REF!+1,0)</f>
        <v>#REF!</v>
      </c>
      <c r="D107" t="e">
        <f>IF(#REF!&gt;0,#REF!+1,0)</f>
        <v>#REF!</v>
      </c>
      <c r="E107" t="e">
        <f>IF(#REF!&gt;0,#REF!+1,0)</f>
        <v>#REF!</v>
      </c>
      <c r="F107" t="e">
        <f>IF(Worksheet!M26&gt;0,I78+2,0)</f>
        <v>#REF!</v>
      </c>
    </row>
    <row r="108" spans="1:18">
      <c r="A108">
        <v>41</v>
      </c>
      <c r="B108" t="e">
        <f>IF(#REF!&gt;0,#REF!+1,0)</f>
        <v>#REF!</v>
      </c>
      <c r="C108" t="e">
        <f>IF(#REF!&gt;0,#REF!+1,0)</f>
        <v>#REF!</v>
      </c>
      <c r="D108" t="e">
        <f>IF(#REF!&gt;0,#REF!+1,0)</f>
        <v>#REF!</v>
      </c>
      <c r="E108" t="e">
        <f>IF(#REF!&gt;0,#REF!+1,0)</f>
        <v>#REF!</v>
      </c>
      <c r="F108" t="e">
        <f>IF(Worksheet!M27&gt;0,I79+2,0)</f>
        <v>#REF!</v>
      </c>
    </row>
    <row r="109" spans="1:18">
      <c r="A109">
        <v>42</v>
      </c>
      <c r="B109" t="e">
        <f>IF(#REF!&gt;0,#REF!+1,0)</f>
        <v>#REF!</v>
      </c>
      <c r="C109" t="e">
        <f>IF(#REF!&gt;0,#REF!+1,0)</f>
        <v>#REF!</v>
      </c>
      <c r="D109" t="e">
        <f>IF(#REF!&gt;0,#REF!+1,0)</f>
        <v>#REF!</v>
      </c>
      <c r="E109" t="e">
        <f>IF(#REF!&gt;0,#REF!+1,0)</f>
        <v>#REF!</v>
      </c>
      <c r="F109" t="e">
        <f>IF(Worksheet!M28&gt;0,I80+2,0)</f>
        <v>#REF!</v>
      </c>
    </row>
    <row r="110" spans="1:18">
      <c r="A110">
        <v>43</v>
      </c>
      <c r="B110" t="e">
        <f>IF(#REF!&gt;0,#REF!+1,0)</f>
        <v>#REF!</v>
      </c>
      <c r="C110" t="e">
        <f>IF(#REF!&gt;0,#REF!+1,0)</f>
        <v>#REF!</v>
      </c>
      <c r="D110" t="e">
        <f>IF(#REF!&gt;0,#REF!+1,0)</f>
        <v>#REF!</v>
      </c>
      <c r="E110" t="e">
        <f>IF(#REF!&gt;0,#REF!+1,0)</f>
        <v>#REF!</v>
      </c>
      <c r="F110" t="e">
        <f>IF(Worksheet!M29&gt;0,I81+2,0)</f>
        <v>#REF!</v>
      </c>
    </row>
    <row r="111" spans="1:18">
      <c r="A111">
        <v>44</v>
      </c>
      <c r="B111" t="e">
        <f>IF(#REF!&gt;0,#REF!+1,0)</f>
        <v>#REF!</v>
      </c>
      <c r="C111" t="e">
        <f>IF(#REF!&gt;0,#REF!+1,0)</f>
        <v>#REF!</v>
      </c>
      <c r="D111" t="e">
        <f>IF(#REF!&gt;0,#REF!+1,0)</f>
        <v>#REF!</v>
      </c>
      <c r="E111" t="e">
        <f>IF(#REF!&gt;0,#REF!+1,0)</f>
        <v>#REF!</v>
      </c>
      <c r="F111" t="e">
        <f>IF(Worksheet!M30&gt;0,I82+2,0)</f>
        <v>#REF!</v>
      </c>
    </row>
    <row r="112" spans="1:18">
      <c r="A112">
        <v>45</v>
      </c>
      <c r="B112" t="e">
        <f>IF(#REF!&gt;0,#REF!+1,0)</f>
        <v>#REF!</v>
      </c>
      <c r="C112" t="e">
        <f>IF(#REF!&gt;0,#REF!+1,0)</f>
        <v>#REF!</v>
      </c>
      <c r="D112" t="e">
        <f>IF(#REF!&gt;0,#REF!+1,0)</f>
        <v>#REF!</v>
      </c>
      <c r="E112" t="e">
        <f>IF(#REF!&gt;0,#REF!+1,0)</f>
        <v>#REF!</v>
      </c>
      <c r="F112">
        <f>IF(Worksheet!M31&gt;0,I83+2,0)</f>
        <v>0</v>
      </c>
    </row>
    <row r="113" spans="1:6">
      <c r="A113">
        <v>46</v>
      </c>
      <c r="B113" t="e">
        <f>IF(#REF!&gt;0,#REF!+1,0)</f>
        <v>#REF!</v>
      </c>
      <c r="C113" t="e">
        <f>IF(#REF!&gt;0,#REF!+1,0)</f>
        <v>#REF!</v>
      </c>
      <c r="D113" t="e">
        <f>IF(#REF!&gt;0,#REF!+1,0)</f>
        <v>#REF!</v>
      </c>
      <c r="E113" t="e">
        <f>IF(#REF!&gt;0,#REF!+1,0)</f>
        <v>#REF!</v>
      </c>
      <c r="F113">
        <f>IF(Worksheet!M32&gt;0,I84+2,0)</f>
        <v>0</v>
      </c>
    </row>
    <row r="114" spans="1:6">
      <c r="A114">
        <v>47</v>
      </c>
      <c r="B114" t="e">
        <f>IF(#REF!&gt;0,#REF!+1,0)</f>
        <v>#REF!</v>
      </c>
      <c r="C114" t="e">
        <f>IF(#REF!&gt;0,#REF!+1,0)</f>
        <v>#REF!</v>
      </c>
      <c r="D114" t="e">
        <f>IF(#REF!&gt;0,#REF!+1,0)</f>
        <v>#REF!</v>
      </c>
      <c r="E114" t="e">
        <f>IF(#REF!&gt;0,#REF!+1,0)</f>
        <v>#REF!</v>
      </c>
      <c r="F114">
        <f>IF(Worksheet!M33&gt;0,I85+2,0)</f>
        <v>0</v>
      </c>
    </row>
    <row r="115" spans="1:6">
      <c r="A115">
        <v>48</v>
      </c>
      <c r="B115" t="e">
        <f>IF(#REF!&gt;0,#REF!+1,0)</f>
        <v>#REF!</v>
      </c>
      <c r="C115" t="e">
        <f>IF(#REF!&gt;0,#REF!+1,0)</f>
        <v>#REF!</v>
      </c>
      <c r="D115" t="e">
        <f>IF(#REF!&gt;0,#REF!+1,0)</f>
        <v>#REF!</v>
      </c>
      <c r="E115" t="e">
        <f>IF(#REF!&gt;0,#REF!+1,0)</f>
        <v>#REF!</v>
      </c>
      <c r="F115">
        <f>IF(Worksheet!M34&gt;0,I86+2,0)</f>
        <v>0</v>
      </c>
    </row>
    <row r="116" spans="1:6">
      <c r="A116">
        <v>49</v>
      </c>
      <c r="B116" t="e">
        <f>IF(#REF!&gt;0,#REF!+1,0)</f>
        <v>#REF!</v>
      </c>
      <c r="C116" t="e">
        <f>IF(#REF!&gt;0,#REF!+1,0)</f>
        <v>#REF!</v>
      </c>
      <c r="D116" t="e">
        <f>IF(#REF!&gt;0,#REF!+1,0)</f>
        <v>#REF!</v>
      </c>
      <c r="E116" t="e">
        <f>IF(#REF!&gt;0,#REF!+1,0)</f>
        <v>#REF!</v>
      </c>
      <c r="F116">
        <f>IF(Worksheet!M35&gt;0,I87+2,0)</f>
        <v>0</v>
      </c>
    </row>
    <row r="117" spans="1:6">
      <c r="A117">
        <v>50</v>
      </c>
      <c r="B117" t="e">
        <f>IF(#REF!&gt;0,#REF!+1,0)</f>
        <v>#REF!</v>
      </c>
      <c r="C117" t="e">
        <f>IF(#REF!&gt;0,#REF!+1,0)</f>
        <v>#REF!</v>
      </c>
      <c r="D117" t="e">
        <f>IF(#REF!&gt;0,#REF!+1,0)</f>
        <v>#REF!</v>
      </c>
      <c r="E117" t="e">
        <f>IF(#REF!&gt;0,#REF!+1,0)</f>
        <v>#REF!</v>
      </c>
      <c r="F117">
        <f>IF(Worksheet!M36&gt;0,I88+2,0)</f>
        <v>0</v>
      </c>
    </row>
    <row r="118" spans="1:6">
      <c r="B118" s="213" t="e">
        <f>ROUNDUP(SUM(B68:B117),0)</f>
        <v>#REF!</v>
      </c>
      <c r="C118" s="213" t="e">
        <f>ROUNDUP(SUM(C68:C117),0)</f>
        <v>#REF!</v>
      </c>
      <c r="D118" s="213" t="e">
        <f>ROUNDUP(SUM(D68:D88),0)</f>
        <v>#REF!</v>
      </c>
      <c r="E118" s="213" t="e">
        <f>SUM(E68:E88)</f>
        <v>#REF!</v>
      </c>
      <c r="F118" s="213">
        <f ca="1">SUM(F68:F88)</f>
        <v>323</v>
      </c>
    </row>
    <row r="119" spans="1:6">
      <c r="B119" t="s">
        <v>2467</v>
      </c>
      <c r="C119" t="s">
        <v>2467</v>
      </c>
      <c r="D119" t="s">
        <v>2467</v>
      </c>
      <c r="E119" t="s">
        <v>2468</v>
      </c>
      <c r="F119" t="s">
        <v>2468</v>
      </c>
    </row>
    <row r="120" spans="1:6">
      <c r="B120"/>
      <c r="C120"/>
      <c r="D120"/>
      <c r="E120"/>
      <c r="F120"/>
    </row>
    <row r="121" spans="1:6">
      <c r="B121"/>
      <c r="C121"/>
      <c r="D121"/>
      <c r="E121"/>
      <c r="F121"/>
    </row>
    <row r="122" spans="1:6">
      <c r="B122"/>
      <c r="C122"/>
      <c r="D122"/>
      <c r="E122"/>
      <c r="F122"/>
    </row>
    <row r="128" spans="1:6">
      <c r="B128" s="212" t="s">
        <v>12</v>
      </c>
      <c r="C128" s="216" t="s">
        <v>2489</v>
      </c>
    </row>
    <row r="129" spans="2:2">
      <c r="B129" t="str">
        <f>Worksheet!V11</f>
        <v>HO</v>
      </c>
    </row>
    <row r="130" spans="2:2">
      <c r="B130" t="str">
        <f>Worksheet!V12</f>
        <v>HO</v>
      </c>
    </row>
    <row r="131" spans="2:2">
      <c r="B131" t="str">
        <f>Worksheet!V13</f>
        <v>HO</v>
      </c>
    </row>
    <row r="132" spans="2:2">
      <c r="B132" t="str">
        <f>Worksheet!V14</f>
        <v>HO</v>
      </c>
    </row>
    <row r="133" spans="2:2">
      <c r="B133" t="str">
        <f>Worksheet!V15</f>
        <v>HO</v>
      </c>
    </row>
    <row r="134" spans="2:2">
      <c r="B134" t="str">
        <f>Worksheet!V16</f>
        <v>HO</v>
      </c>
    </row>
    <row r="135" spans="2:2">
      <c r="B135" t="str">
        <f>Worksheet!V17</f>
        <v>HO</v>
      </c>
    </row>
    <row r="136" spans="2:2">
      <c r="B136" t="str">
        <f>Worksheet!V18</f>
        <v>HO</v>
      </c>
    </row>
    <row r="137" spans="2:2">
      <c r="B137" t="str">
        <f>Worksheet!V19</f>
        <v>HO</v>
      </c>
    </row>
    <row r="138" spans="2:2">
      <c r="B138" t="str">
        <f>Worksheet!V20</f>
        <v>HO</v>
      </c>
    </row>
    <row r="139" spans="2:2">
      <c r="B139" t="str">
        <f>Worksheet!V21</f>
        <v>HO</v>
      </c>
    </row>
    <row r="140" spans="2:2">
      <c r="B140" t="str">
        <f>Worksheet!V22</f>
        <v>HO</v>
      </c>
    </row>
    <row r="141" spans="2:2">
      <c r="B141" t="str">
        <f>Worksheet!V23</f>
        <v>HO</v>
      </c>
    </row>
    <row r="142" spans="2:2">
      <c r="B142" t="str">
        <f>Worksheet!V24</f>
        <v>HO</v>
      </c>
    </row>
    <row r="143" spans="2:2">
      <c r="B143" t="str">
        <f>Worksheet!V25</f>
        <v>HO</v>
      </c>
    </row>
    <row r="144" spans="2:2">
      <c r="B144" t="str">
        <f>Worksheet!V26</f>
        <v>HO</v>
      </c>
    </row>
    <row r="145" spans="2:3">
      <c r="B145" t="str">
        <f>Worksheet!V27</f>
        <v>HO</v>
      </c>
    </row>
    <row r="146" spans="2:3">
      <c r="B146" t="str">
        <f>Worksheet!V28</f>
        <v>HO</v>
      </c>
    </row>
    <row r="147" spans="2:3">
      <c r="B147" t="str">
        <f>Worksheet!V29</f>
        <v>HO</v>
      </c>
    </row>
    <row r="148" spans="2:3">
      <c r="B148" t="str">
        <f>Worksheet!V30</f>
        <v>HO</v>
      </c>
    </row>
    <row r="149" spans="2:3">
      <c r="B149"/>
      <c r="C149" s="201" t="e" cm="1">
        <f t="array" ref="C149">ROWS(B129:B148)-SUM(IF(B129:B148,B129:B148)=1,1,0)</f>
        <v>#VALUE!</v>
      </c>
    </row>
    <row r="150" spans="2:3">
      <c r="B150"/>
    </row>
  </sheetData>
  <mergeCells count="1">
    <mergeCell ref="A19:A21"/>
  </mergeCells>
  <phoneticPr fontId="2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676A4-9B7C-43D8-8C9C-A34946089059}">
  <dimension ref="A1:BO50"/>
  <sheetViews>
    <sheetView showGridLines="0" showZeros="0" view="pageBreakPreview" topLeftCell="A5" zoomScale="90" zoomScaleNormal="80" zoomScaleSheetLayoutView="90" workbookViewId="0">
      <selection activeCell="AJ17" sqref="AJ17"/>
    </sheetView>
  </sheetViews>
  <sheetFormatPr defaultRowHeight="15.75"/>
  <cols>
    <col min="1" max="1" width="6" style="200" customWidth="1"/>
    <col min="2" max="2" width="16.140625" customWidth="1"/>
    <col min="3" max="3" width="2.7109375" customWidth="1"/>
    <col min="4" max="4" width="4.28515625" style="1" customWidth="1"/>
    <col min="5" max="5" width="4.28515625" customWidth="1"/>
    <col min="6" max="6" width="5.85546875" customWidth="1"/>
    <col min="7" max="7" width="4.85546875" customWidth="1"/>
    <col min="8" max="8" width="4.7109375" style="5" customWidth="1"/>
    <col min="9" max="9" width="6.140625" customWidth="1"/>
    <col min="10" max="10" width="7.7109375" customWidth="1"/>
    <col min="11" max="11" width="4.140625" customWidth="1"/>
    <col min="12" max="12" width="2.7109375" customWidth="1"/>
    <col min="13" max="13" width="3.5703125" customWidth="1"/>
    <col min="14" max="14" width="3.28515625" customWidth="1"/>
    <col min="15" max="15" width="7.7109375" style="15" customWidth="1"/>
    <col min="16" max="16" width="6.7109375" customWidth="1"/>
    <col min="17" max="17" width="6.42578125" customWidth="1"/>
    <col min="18" max="18" width="7.5703125" customWidth="1"/>
    <col min="19" max="19" width="8.140625" customWidth="1"/>
    <col min="20" max="20" width="6.5703125" customWidth="1"/>
    <col min="21" max="21" width="3.5703125" customWidth="1"/>
    <col min="22" max="22" width="11.85546875" customWidth="1"/>
    <col min="23" max="23" width="17" customWidth="1"/>
    <col min="24" max="24" width="15" customWidth="1"/>
    <col min="25" max="25" width="18.42578125" customWidth="1"/>
    <col min="26" max="31" width="7.28515625" customWidth="1"/>
    <col min="32" max="32" width="9.140625" customWidth="1"/>
    <col min="33" max="33" width="9.42578125" style="5" customWidth="1"/>
    <col min="34" max="35" width="6.85546875" customWidth="1"/>
    <col min="36" max="37" width="6.5703125" customWidth="1"/>
    <col min="38" max="38" width="13.5703125" style="2" customWidth="1"/>
    <col min="39" max="39" width="13.42578125" style="2" customWidth="1"/>
    <col min="40" max="40" width="16.140625" style="4" customWidth="1"/>
    <col min="41" max="42" width="15.7109375" style="2" customWidth="1"/>
    <col min="43" max="43" width="12.5703125" style="2" customWidth="1"/>
    <col min="44" max="44" width="14.28515625" style="2" customWidth="1"/>
    <col min="45" max="45" width="2.5703125" style="2" customWidth="1"/>
    <col min="46" max="46" width="9" customWidth="1"/>
    <col min="47" max="48" width="6" customWidth="1"/>
    <col min="49" max="50" width="9" customWidth="1"/>
    <col min="54" max="54" width="13.5703125" customWidth="1"/>
    <col min="55" max="55" width="9.7109375" bestFit="1" customWidth="1"/>
    <col min="56" max="57" width="9.7109375" customWidth="1"/>
    <col min="58" max="58" width="12.42578125" customWidth="1"/>
    <col min="63" max="63" width="18.5703125" customWidth="1"/>
    <col min="67" max="67" width="9.140625" style="197"/>
  </cols>
  <sheetData>
    <row r="1" spans="1:67" s="43" customFormat="1" ht="40.700000000000003" customHeight="1">
      <c r="A1" s="198"/>
      <c r="B1" s="44"/>
      <c r="C1" s="44"/>
      <c r="D1" s="45"/>
      <c r="H1" s="46"/>
      <c r="N1" s="417" t="str">
        <f>IF(F35&gt;0,"FINAL MEASUREMENTS OK"," ")</f>
        <v xml:space="preserve"> </v>
      </c>
      <c r="O1" s="417"/>
      <c r="P1" s="417"/>
      <c r="Q1" s="417"/>
      <c r="R1" s="417"/>
      <c r="S1" s="417"/>
      <c r="T1" s="417"/>
      <c r="U1" s="47"/>
      <c r="V1" s="47"/>
      <c r="Y1" s="48" t="s">
        <v>2589</v>
      </c>
      <c r="Z1" s="43" t="s">
        <v>2592</v>
      </c>
      <c r="AG1" s="46"/>
      <c r="AH1" s="47"/>
      <c r="AI1" s="47"/>
      <c r="AJ1" s="47"/>
      <c r="AK1" s="47"/>
      <c r="AL1" s="49" t="s">
        <v>2590</v>
      </c>
      <c r="AM1" s="50"/>
      <c r="AN1" s="51"/>
      <c r="AO1" s="50"/>
      <c r="AP1" s="50"/>
      <c r="AQ1" s="52" t="s">
        <v>120</v>
      </c>
      <c r="AR1" s="413">
        <f>Worksheet!AR1</f>
        <v>0</v>
      </c>
      <c r="AT1" s="47"/>
      <c r="AU1" s="47"/>
      <c r="AV1" s="47"/>
      <c r="AW1" s="47"/>
      <c r="AX1" s="47"/>
      <c r="BO1" s="195"/>
    </row>
    <row r="2" spans="1:67" s="53" customFormat="1">
      <c r="A2" s="198"/>
      <c r="B2" s="54"/>
      <c r="C2" s="55"/>
      <c r="D2" s="56"/>
      <c r="E2" s="57"/>
      <c r="F2" s="57"/>
      <c r="G2" s="57"/>
      <c r="H2" s="58"/>
      <c r="I2" s="57"/>
      <c r="J2" s="57"/>
      <c r="K2" s="57"/>
      <c r="L2" s="57"/>
      <c r="M2" s="57"/>
      <c r="N2" s="57"/>
      <c r="O2" s="59"/>
      <c r="P2" s="57"/>
      <c r="Q2" s="57"/>
      <c r="R2" s="57"/>
      <c r="T2" s="57"/>
      <c r="U2" s="57" t="s">
        <v>107</v>
      </c>
      <c r="V2" s="60" t="s">
        <v>2532</v>
      </c>
      <c r="W2" s="61">
        <f ca="1">+TODAY()</f>
        <v>45791</v>
      </c>
      <c r="X2" s="61"/>
      <c r="Y2" s="55"/>
      <c r="Z2" s="57"/>
      <c r="AF2" s="57"/>
      <c r="AG2" s="58"/>
      <c r="AH2" s="57"/>
      <c r="AI2" s="57"/>
      <c r="AJ2" s="57"/>
      <c r="AK2" s="57"/>
      <c r="AL2" s="62"/>
      <c r="AM2" s="62"/>
      <c r="AN2" s="63"/>
      <c r="AO2" s="62"/>
      <c r="AP2" s="62"/>
      <c r="AQ2" s="62"/>
      <c r="AR2" s="62"/>
      <c r="AS2" s="62"/>
      <c r="AT2" s="57"/>
      <c r="AU2" s="57"/>
      <c r="AV2" s="57"/>
      <c r="AW2" s="57"/>
      <c r="AX2" s="57"/>
      <c r="BO2" s="196"/>
    </row>
    <row r="3" spans="1:67" s="53" customFormat="1" ht="15.95" customHeight="1" thickBot="1">
      <c r="A3" s="198"/>
      <c r="B3" s="64" t="s">
        <v>1</v>
      </c>
      <c r="C3" s="57"/>
      <c r="D3" s="349" t="str">
        <f>Worksheet!D3</f>
        <v>JLL</v>
      </c>
      <c r="E3" s="349"/>
      <c r="F3" s="349"/>
      <c r="G3" s="349"/>
      <c r="H3" s="349"/>
      <c r="I3" s="349"/>
      <c r="J3" s="349"/>
      <c r="K3" s="349"/>
      <c r="L3" s="349"/>
      <c r="M3" s="349"/>
      <c r="N3" s="349"/>
      <c r="O3" s="349"/>
      <c r="P3" s="57"/>
      <c r="Q3" s="57"/>
      <c r="S3" s="171"/>
      <c r="T3" s="171"/>
      <c r="U3" s="57"/>
      <c r="V3" s="66"/>
      <c r="W3" s="57"/>
      <c r="X3" s="57"/>
      <c r="Y3" s="57"/>
      <c r="Z3" s="57"/>
      <c r="AF3" s="57"/>
      <c r="AG3" s="58"/>
      <c r="AH3" s="57"/>
      <c r="AI3" s="57"/>
      <c r="AJ3" s="66"/>
      <c r="AK3" s="66"/>
      <c r="AM3" s="66"/>
      <c r="AN3" s="67"/>
      <c r="AO3" s="62"/>
      <c r="AP3" s="62"/>
      <c r="AQ3" s="62"/>
      <c r="AR3" s="62"/>
      <c r="AS3" s="62"/>
      <c r="AT3" s="57"/>
      <c r="AU3" s="57"/>
      <c r="AV3" s="57"/>
      <c r="AW3" s="57"/>
      <c r="AX3" s="57"/>
      <c r="BO3" s="196"/>
    </row>
    <row r="4" spans="1:67" s="53" customFormat="1" ht="15.95" customHeight="1" thickBot="1">
      <c r="A4" s="198"/>
      <c r="B4" s="64" t="s">
        <v>2</v>
      </c>
      <c r="C4" s="57"/>
      <c r="D4" s="350">
        <f>Worksheet!D4</f>
        <v>0</v>
      </c>
      <c r="E4" s="350"/>
      <c r="F4" s="350"/>
      <c r="G4" s="350"/>
      <c r="H4" s="350"/>
      <c r="I4" s="350"/>
      <c r="J4" s="350"/>
      <c r="K4" s="350"/>
      <c r="L4" s="350"/>
      <c r="M4" s="350"/>
      <c r="N4" s="350"/>
      <c r="O4" s="350"/>
      <c r="P4" s="421" t="s">
        <v>2531</v>
      </c>
      <c r="Q4" s="421"/>
      <c r="R4" s="418" t="str">
        <f>Worksheet!R4</f>
        <v>June 20 2025</v>
      </c>
      <c r="S4" s="418"/>
      <c r="T4" s="418"/>
      <c r="U4" s="171"/>
      <c r="V4" s="69" t="s">
        <v>4</v>
      </c>
      <c r="W4" s="388" t="str">
        <f>Worksheet!W4</f>
        <v>Windcrest WO#J5121027-00234.01</v>
      </c>
      <c r="X4" s="376"/>
      <c r="Y4" s="207" t="s">
        <v>2297</v>
      </c>
      <c r="Z4" s="211">
        <v>2</v>
      </c>
      <c r="AB4" s="424" t="s">
        <v>2594</v>
      </c>
      <c r="AC4" s="425"/>
      <c r="AD4" s="425"/>
      <c r="AE4" s="425"/>
      <c r="AF4" s="426"/>
      <c r="AG4" s="390" t="s">
        <v>4</v>
      </c>
      <c r="AH4" s="439" t="str">
        <f>W4</f>
        <v>Windcrest WO#J5121027-00234.01</v>
      </c>
      <c r="AI4" s="439"/>
      <c r="AJ4" s="439"/>
      <c r="AK4" s="439"/>
      <c r="AM4" s="62"/>
      <c r="AN4" s="67"/>
      <c r="AO4" s="62"/>
      <c r="AP4" s="62"/>
      <c r="AQ4" s="380"/>
      <c r="AR4" s="62"/>
      <c r="AS4" s="62"/>
      <c r="AU4" s="68"/>
      <c r="AV4" s="171"/>
      <c r="AW4" s="171"/>
      <c r="AX4" s="171"/>
      <c r="AZ4" s="53">
        <f>IF(C11&gt;0,ROUND(IF(R11&lt;59,(K11+M11)/23,IF(R11&lt;65,(K11+M11)/25,IF(R11&lt;75,(K11+M11)/30,"RR"))),0)," ")</f>
        <v>3</v>
      </c>
      <c r="BB4" s="436" t="s">
        <v>2498</v>
      </c>
      <c r="BC4" s="436"/>
      <c r="BD4" s="436"/>
      <c r="BE4" s="436"/>
      <c r="BF4" s="436"/>
      <c r="BG4" s="436"/>
      <c r="BH4" s="436"/>
      <c r="BI4" s="436"/>
      <c r="BJ4" s="436"/>
      <c r="BO4" s="196"/>
    </row>
    <row r="5" spans="1:67" s="53" customFormat="1" ht="15.95" customHeight="1">
      <c r="A5" s="198"/>
      <c r="B5" s="64"/>
      <c r="C5" s="57"/>
      <c r="D5" s="350">
        <f>Worksheet!D5</f>
        <v>0</v>
      </c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57"/>
      <c r="Q5" s="57"/>
      <c r="R5" s="57"/>
      <c r="T5" s="57"/>
      <c r="U5" s="57"/>
      <c r="V5" s="66"/>
      <c r="W5" s="375" t="str">
        <f>Worksheet!W5</f>
        <v>8801 Midcrown Dr</v>
      </c>
      <c r="X5" s="375"/>
      <c r="Y5" s="375"/>
      <c r="Z5" s="66"/>
      <c r="AB5" s="427"/>
      <c r="AC5" s="428"/>
      <c r="AD5" s="428"/>
      <c r="AE5" s="428"/>
      <c r="AF5" s="429"/>
      <c r="AG5" s="72"/>
      <c r="AH5" s="57"/>
      <c r="AI5" s="57"/>
      <c r="AJ5" s="66"/>
      <c r="AK5" s="66"/>
      <c r="AM5" s="62"/>
      <c r="AN5" s="67"/>
      <c r="AO5" s="62"/>
      <c r="AP5" s="62"/>
      <c r="AQ5" s="381"/>
      <c r="AR5" s="62"/>
      <c r="AS5" s="62"/>
      <c r="AT5" s="57"/>
      <c r="AU5" s="57"/>
      <c r="AV5" s="57"/>
      <c r="AW5" s="57"/>
      <c r="AX5" s="57"/>
      <c r="BO5" s="196"/>
    </row>
    <row r="6" spans="1:67" s="53" customFormat="1" ht="15.95" customHeight="1" thickBot="1">
      <c r="A6" s="198"/>
      <c r="B6" s="64" t="s">
        <v>108</v>
      </c>
      <c r="C6" s="57"/>
      <c r="D6" s="350">
        <f>Worksheet!D6</f>
        <v>0</v>
      </c>
      <c r="E6" s="350"/>
      <c r="F6" s="350"/>
      <c r="G6" s="350"/>
      <c r="H6" s="350"/>
      <c r="I6" s="77" t="s">
        <v>109</v>
      </c>
      <c r="J6" s="351">
        <f>Worksheet!J6</f>
        <v>0</v>
      </c>
      <c r="K6" s="351"/>
      <c r="L6" s="351"/>
      <c r="M6" s="351"/>
      <c r="N6" s="351"/>
      <c r="O6" s="351"/>
      <c r="P6" s="57"/>
      <c r="Q6" s="172"/>
      <c r="R6" s="57"/>
      <c r="S6" s="57"/>
      <c r="T6" s="171"/>
      <c r="U6" s="75"/>
      <c r="V6" s="66"/>
      <c r="W6" s="375" t="str">
        <f>Worksheet!W6</f>
        <v>San Antonio, TX 78239</v>
      </c>
      <c r="X6" s="375"/>
      <c r="Y6" s="375"/>
      <c r="Z6" s="66"/>
      <c r="AF6" s="66"/>
      <c r="AG6" s="72"/>
      <c r="AH6" s="57"/>
      <c r="AI6" s="57"/>
      <c r="AJ6" s="66"/>
      <c r="AK6" s="66"/>
      <c r="AL6" s="62"/>
      <c r="AM6" s="66"/>
      <c r="AN6" s="76"/>
      <c r="AO6" s="66"/>
      <c r="AP6" s="66"/>
      <c r="AQ6" s="66"/>
      <c r="AR6" s="66"/>
      <c r="AS6" s="66"/>
      <c r="AU6" s="171"/>
      <c r="AV6" s="171"/>
      <c r="AW6" s="171"/>
      <c r="AX6" s="171"/>
      <c r="BO6" s="196"/>
    </row>
    <row r="7" spans="1:67" s="53" customFormat="1" ht="15.75" customHeight="1" thickBot="1">
      <c r="A7" s="198"/>
      <c r="B7" s="64" t="s">
        <v>137</v>
      </c>
      <c r="C7" s="66"/>
      <c r="D7" s="375">
        <f>Worksheet!D7</f>
        <v>0</v>
      </c>
      <c r="E7" s="375"/>
      <c r="F7" s="375"/>
      <c r="G7" s="375"/>
      <c r="H7" s="375"/>
      <c r="I7" s="77" t="s">
        <v>111</v>
      </c>
      <c r="J7" s="351">
        <f>Worksheet!J7</f>
        <v>0</v>
      </c>
      <c r="K7" s="351"/>
      <c r="L7" s="351"/>
      <c r="M7" s="351"/>
      <c r="N7" s="351"/>
      <c r="O7" s="351"/>
      <c r="P7" s="57"/>
      <c r="Q7" s="79"/>
      <c r="R7" s="57"/>
      <c r="S7" s="57"/>
      <c r="T7" s="57"/>
      <c r="U7" s="75"/>
      <c r="V7" s="66" t="s">
        <v>108</v>
      </c>
      <c r="W7" s="163" t="str">
        <f>Worksheet!W7</f>
        <v>Key Box# 78239 Back Door Mech enclosure #1830</v>
      </c>
      <c r="X7" s="163"/>
      <c r="Y7" s="163"/>
      <c r="Z7" s="66"/>
      <c r="AD7" s="304" t="s">
        <v>2593</v>
      </c>
      <c r="AE7" s="389">
        <v>2.5</v>
      </c>
      <c r="AF7" s="66"/>
      <c r="AG7" s="72"/>
      <c r="AH7" s="79"/>
      <c r="AI7" s="79"/>
      <c r="AJ7" s="66"/>
      <c r="AK7" s="66"/>
      <c r="AL7" s="190">
        <f>sew_price/2</f>
        <v>25</v>
      </c>
      <c r="AM7" s="66"/>
      <c r="AN7" s="76"/>
      <c r="AO7" s="66"/>
      <c r="AP7" s="66"/>
      <c r="AQ7" s="66"/>
      <c r="AR7" s="66"/>
      <c r="AS7" s="66"/>
      <c r="AT7" s="57"/>
      <c r="AU7" s="57"/>
      <c r="AV7" s="57"/>
      <c r="AW7" s="57"/>
      <c r="AX7" s="57"/>
      <c r="BO7" s="196"/>
    </row>
    <row r="8" spans="1:67" s="53" customFormat="1" ht="21" customHeight="1" thickBot="1">
      <c r="A8" s="198"/>
      <c r="B8" s="64"/>
      <c r="C8" s="57"/>
      <c r="D8" s="56"/>
      <c r="E8" s="57"/>
      <c r="F8" s="57"/>
      <c r="G8" s="57"/>
      <c r="H8" s="58"/>
      <c r="I8" s="57"/>
      <c r="J8" s="57"/>
      <c r="K8" s="57"/>
      <c r="L8" s="57"/>
      <c r="M8" s="57"/>
      <c r="N8" s="57"/>
      <c r="O8" s="59"/>
      <c r="P8" s="57"/>
      <c r="Q8" s="57"/>
      <c r="R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G8" s="80"/>
      <c r="AH8" s="57"/>
      <c r="AI8" s="57"/>
      <c r="AJ8" s="440" t="s">
        <v>67</v>
      </c>
      <c r="AK8" s="441"/>
      <c r="AL8" s="191">
        <f>sew_price</f>
        <v>50</v>
      </c>
      <c r="AM8" s="191">
        <f>install_price</f>
        <v>15</v>
      </c>
      <c r="AN8" s="63"/>
      <c r="AO8" s="62"/>
      <c r="AP8" s="62"/>
      <c r="AQ8" s="62"/>
      <c r="AR8" s="62"/>
      <c r="AS8" s="62"/>
      <c r="BD8" s="81" t="s">
        <v>59</v>
      </c>
      <c r="BE8" s="81" t="s">
        <v>42</v>
      </c>
      <c r="BF8" s="81" t="s">
        <v>66</v>
      </c>
      <c r="BO8" s="196"/>
    </row>
    <row r="9" spans="1:67" s="53" customFormat="1" ht="36" customHeight="1">
      <c r="A9" s="198"/>
      <c r="B9" s="82"/>
      <c r="C9" s="422" t="s">
        <v>124</v>
      </c>
      <c r="D9" s="83"/>
      <c r="E9" s="84"/>
      <c r="F9" s="84"/>
      <c r="G9" s="85"/>
      <c r="H9" s="86"/>
      <c r="I9" s="87" t="s">
        <v>53</v>
      </c>
      <c r="J9" s="87"/>
      <c r="K9" s="87"/>
      <c r="L9" s="87"/>
      <c r="M9" s="87"/>
      <c r="N9" s="87"/>
      <c r="O9" s="88"/>
      <c r="P9" s="419" t="s">
        <v>125</v>
      </c>
      <c r="Q9" s="89"/>
      <c r="R9" s="217"/>
      <c r="S9" s="218" t="s">
        <v>138</v>
      </c>
      <c r="T9" s="181"/>
      <c r="U9" s="90"/>
      <c r="V9" s="89"/>
      <c r="W9" s="84"/>
      <c r="X9" s="84"/>
      <c r="Y9" s="85"/>
      <c r="Z9" s="85"/>
      <c r="AA9" s="363" t="s">
        <v>141</v>
      </c>
      <c r="AB9" s="364" t="s">
        <v>142</v>
      </c>
      <c r="AC9" s="82" t="s">
        <v>6</v>
      </c>
      <c r="AD9" s="218" t="s">
        <v>140</v>
      </c>
      <c r="AE9" s="365" t="s">
        <v>6</v>
      </c>
      <c r="AF9" s="85"/>
      <c r="AG9" s="91"/>
      <c r="AH9" s="419" t="s">
        <v>127</v>
      </c>
      <c r="AI9" s="419" t="s">
        <v>126</v>
      </c>
      <c r="AJ9" s="82"/>
      <c r="AK9" s="84"/>
      <c r="AL9" s="262"/>
      <c r="AM9" s="192"/>
      <c r="AN9" s="92" t="s">
        <v>7</v>
      </c>
      <c r="AO9" s="93"/>
      <c r="AP9" s="93"/>
      <c r="AQ9" s="94"/>
      <c r="AR9" s="95"/>
      <c r="AS9" s="183"/>
      <c r="BB9" s="81" t="s">
        <v>56</v>
      </c>
      <c r="BC9" s="81" t="s">
        <v>42</v>
      </c>
      <c r="BD9" s="81" t="s">
        <v>60</v>
      </c>
      <c r="BE9" s="81" t="s">
        <v>61</v>
      </c>
      <c r="BF9" s="81" t="s">
        <v>61</v>
      </c>
      <c r="BG9" s="53" t="s">
        <v>62</v>
      </c>
      <c r="BH9" s="53" t="s">
        <v>58</v>
      </c>
      <c r="BI9" s="81" t="s">
        <v>59</v>
      </c>
      <c r="BJ9" s="81"/>
      <c r="BO9" s="196"/>
    </row>
    <row r="10" spans="1:67" s="53" customFormat="1" ht="36" customHeight="1">
      <c r="A10" s="199"/>
      <c r="B10" s="96" t="s">
        <v>96</v>
      </c>
      <c r="C10" s="423"/>
      <c r="D10" s="97" t="s">
        <v>8</v>
      </c>
      <c r="E10" s="98" t="s">
        <v>9</v>
      </c>
      <c r="F10" s="98" t="s">
        <v>68</v>
      </c>
      <c r="G10" s="99" t="s">
        <v>49</v>
      </c>
      <c r="H10" s="100" t="s">
        <v>50</v>
      </c>
      <c r="I10" s="101" t="s">
        <v>51</v>
      </c>
      <c r="J10" s="101"/>
      <c r="K10" s="99"/>
      <c r="L10" s="99"/>
      <c r="M10" s="99"/>
      <c r="N10" s="99"/>
      <c r="O10" s="102"/>
      <c r="P10" s="420"/>
      <c r="Q10" s="261" t="s">
        <v>2505</v>
      </c>
      <c r="R10" s="219" t="s">
        <v>129</v>
      </c>
      <c r="S10" s="220" t="s">
        <v>10</v>
      </c>
      <c r="T10" s="243" t="s">
        <v>2506</v>
      </c>
      <c r="U10" s="104"/>
      <c r="V10" s="103" t="s">
        <v>12</v>
      </c>
      <c r="W10" s="98" t="s">
        <v>13</v>
      </c>
      <c r="X10" s="98" t="s">
        <v>123</v>
      </c>
      <c r="Y10" s="105" t="s">
        <v>92</v>
      </c>
      <c r="Z10" s="99"/>
      <c r="AA10" s="366" t="s">
        <v>41</v>
      </c>
      <c r="AB10" s="103" t="s">
        <v>10</v>
      </c>
      <c r="AC10" s="154" t="s">
        <v>130</v>
      </c>
      <c r="AD10" s="220" t="s">
        <v>10</v>
      </c>
      <c r="AE10" s="367" t="s">
        <v>131</v>
      </c>
      <c r="AF10" s="99"/>
      <c r="AG10" s="100" t="s">
        <v>2504</v>
      </c>
      <c r="AH10" s="420"/>
      <c r="AI10" s="420"/>
      <c r="AJ10" s="154" t="s">
        <v>2503</v>
      </c>
      <c r="AK10" s="98" t="s">
        <v>2502</v>
      </c>
      <c r="AL10" s="263" t="s">
        <v>14</v>
      </c>
      <c r="AM10" s="106" t="s">
        <v>15</v>
      </c>
      <c r="AN10" s="107" t="s">
        <v>12</v>
      </c>
      <c r="AO10" s="106" t="s">
        <v>13</v>
      </c>
      <c r="AP10" s="106" t="s">
        <v>123</v>
      </c>
      <c r="AQ10" s="106" t="s">
        <v>71</v>
      </c>
      <c r="AR10" s="108" t="s">
        <v>16</v>
      </c>
      <c r="AS10" s="183"/>
      <c r="AZ10" s="81" t="s">
        <v>54</v>
      </c>
      <c r="BA10" s="81" t="s">
        <v>55</v>
      </c>
      <c r="BB10" s="81" t="s">
        <v>41</v>
      </c>
      <c r="BC10" s="81" t="s">
        <v>41</v>
      </c>
      <c r="BD10" s="81" t="s">
        <v>41</v>
      </c>
      <c r="BE10" s="81" t="s">
        <v>65</v>
      </c>
      <c r="BF10" s="81" t="s">
        <v>57</v>
      </c>
      <c r="BG10" s="109" t="s">
        <v>63</v>
      </c>
      <c r="BH10" s="53" t="s">
        <v>64</v>
      </c>
      <c r="BI10" s="53" t="s">
        <v>57</v>
      </c>
      <c r="BK10" s="53" t="s">
        <v>132</v>
      </c>
      <c r="BL10" s="53" t="s">
        <v>133</v>
      </c>
      <c r="BN10" s="194" t="s">
        <v>145</v>
      </c>
      <c r="BO10" s="196"/>
    </row>
    <row r="11" spans="1:67" s="53" customFormat="1" ht="20.100000000000001" customHeight="1">
      <c r="A11" s="28" t="str">
        <f>HLOOKUP($Z$4,'Data Sheet'!$B$2:$CM$27,2,FALSE)</f>
        <v>P2-21</v>
      </c>
      <c r="B11" s="110" t="s">
        <v>2631</v>
      </c>
      <c r="C11" s="155" t="s">
        <v>122</v>
      </c>
      <c r="D11" s="112">
        <v>1</v>
      </c>
      <c r="E11" s="113"/>
      <c r="F11" s="113"/>
      <c r="G11" s="111">
        <v>60</v>
      </c>
      <c r="H11" s="114">
        <v>3.5</v>
      </c>
      <c r="I11" s="111">
        <v>104</v>
      </c>
      <c r="J11" s="245">
        <f>IF(F11="l","left",IF(F11="r","right",IF(F11="f","flat",IF(F11="d","dead",IF(F11="s","sor",IF(F11="st","sor t&amp;b",0))))))</f>
        <v>0</v>
      </c>
      <c r="K11" s="245">
        <f>+G11</f>
        <v>60</v>
      </c>
      <c r="L11" s="246" t="str">
        <f>IF(F11&gt;"r",0,IF(G11&gt;0,"+",0))</f>
        <v>+</v>
      </c>
      <c r="M11" s="247">
        <f>IF(F11="F",0,IF(F11&gt;"r",0,AZ11))</f>
        <v>13</v>
      </c>
      <c r="N11" s="248" t="str">
        <f>IF(G11&gt;0,"x",0)</f>
        <v>x</v>
      </c>
      <c r="O11" s="249">
        <f t="shared" ref="O11:O30" si="0">+I11</f>
        <v>104</v>
      </c>
      <c r="P11" s="250">
        <f t="shared" ref="P11:P30" si="1">IF($G11&gt;0,VLOOKUP($W11,$BK$12:$BL$40,2,FALSE)," ")</f>
        <v>72</v>
      </c>
      <c r="Q11" s="354">
        <f>IF(D11+E11&gt;0,IF(F11&gt;"u",0,IF(BA11="RR","RR",+BB11)),0)</f>
        <v>2.5499999999999998</v>
      </c>
      <c r="R11" s="353">
        <f t="shared" ref="R11:R30" si="2">IF($C11&gt;0,VLOOKUP($X11,$BK$28:$BL$40,2,FALSE)," ")</f>
        <v>60</v>
      </c>
      <c r="S11" s="355">
        <f>IF($C11&gt;0,ROUND(IF($R11&lt;59,($K11+$M11)/23,IF($R11&lt;65,($K11+$M11)/25,IF($R11&lt;75,($K11+$M11)/30,"RR"))),1)," ")</f>
        <v>2.9</v>
      </c>
      <c r="T11" s="113"/>
      <c r="U11" s="244">
        <f t="shared" ref="U11:U30" si="3">+D11+E11</f>
        <v>1</v>
      </c>
      <c r="V11" s="221" t="s">
        <v>2618</v>
      </c>
      <c r="W11" s="221" t="s">
        <v>2499</v>
      </c>
      <c r="X11" s="222" t="s">
        <v>159</v>
      </c>
      <c r="Y11" s="57"/>
      <c r="Z11" s="57"/>
      <c r="AA11" s="362">
        <f t="shared" ref="AA11:AA30" si="4">IF(D11+E11&gt;0,IF(F11&gt;"u",0,IF(BA11="RR","RR",ROUND(BA11,1))),0)</f>
        <v>2.5</v>
      </c>
      <c r="AB11" s="357">
        <f t="shared" ref="AB11:AB30" si="5">IF(D11+E11&gt;0,IF(P11&gt;75,BD11,+BC11),0)</f>
        <v>4</v>
      </c>
      <c r="AC11" s="358">
        <f t="shared" ref="AC11:AC30" si="6">IF(D11+E11&gt;0,IF(P11&gt;75,BI11,BE11),0)</f>
        <v>8.5</v>
      </c>
      <c r="AD11" s="359">
        <f t="shared" ref="AD11:AD30" si="7">IF($C11&gt;0,ROUNDUP((($K11+$M11)/25),0)," ")</f>
        <v>3</v>
      </c>
      <c r="AE11" s="368">
        <f t="shared" ref="AE11:AE30" si="8">IF(C11&gt;0,(O11+10)*AD11/36,0)</f>
        <v>9.5</v>
      </c>
      <c r="AF11" s="57" t="s">
        <v>24</v>
      </c>
      <c r="AG11" s="116">
        <f t="shared" ref="AG11:AG30" si="9">+G11*I11/144*(D11+E11)</f>
        <v>43.333333333333336</v>
      </c>
      <c r="AH11" s="113">
        <v>40</v>
      </c>
      <c r="AI11" s="113">
        <v>12</v>
      </c>
      <c r="AJ11" s="113"/>
      <c r="AK11" s="117"/>
      <c r="AL11" s="259">
        <f t="shared" ref="AL11:AL30" si="10">IF(C11&gt;0,AB11*Lining_Sew_Price)+AB11*sew_price*squeeze</f>
        <v>300</v>
      </c>
      <c r="AM11" s="118">
        <f t="shared" ref="AM11:AM30" si="11">IF($R$34=1,AB11*install_price*squeeze," ")</f>
        <v>60</v>
      </c>
      <c r="AN11" s="260">
        <f t="shared" ref="AN11:AN30" si="12">U11*AJ11*squeeze</f>
        <v>0</v>
      </c>
      <c r="AO11" s="118">
        <f t="shared" ref="AO11:AO30" si="13">AC11*AH11*squeeze</f>
        <v>340</v>
      </c>
      <c r="AP11" s="118">
        <f t="shared" ref="AP11:AP30" si="14">IF(C11&gt;0,AE11*AI11*squeeze," ")</f>
        <v>114</v>
      </c>
      <c r="AQ11" s="118">
        <f t="shared" ref="AQ11:AQ30" si="15">+AK11*squeeze</f>
        <v>0</v>
      </c>
      <c r="AR11" s="119">
        <f t="shared" ref="AR11:AR30" si="16">SUM(AL11:AQ11)</f>
        <v>814</v>
      </c>
      <c r="AS11" s="184"/>
      <c r="AZ11" s="120">
        <f>IF(AND($D11&gt;0,H11=9),($H11*2)+(3*2),IF(AND($D11&gt;0,H11=6),($H11*2)+(3*2),IF(AND(D11&gt;0,H11&lt;6),($H11*2)+(3*2),IF(AND($E11&gt;0,H11=3.5),$H11+3.5,IF(AND($E11&gt;0,H11=6),$H11+3,0)))))</f>
        <v>13</v>
      </c>
      <c r="BA11" s="120">
        <f t="shared" ref="BA11:BA30" si="17">IF($P11&gt;77,"RR", (($K11+$M11)*$AE$7)/$P11)</f>
        <v>2.5347222222222223</v>
      </c>
      <c r="BB11" s="120">
        <f>(+ROUNDUP(BA11*2,1))/2</f>
        <v>2.5499999999999998</v>
      </c>
      <c r="BC11" s="121">
        <f t="shared" ref="BC11:BC31" si="18">(CEILING(AA11,2))*(IF(D11&gt;0,D11,E11))</f>
        <v>4</v>
      </c>
      <c r="BD11" s="121">
        <f t="shared" ref="BD11:BD30" si="19">(ROUND((K11+M11)/20,0))*(IF(D11&gt;0,D11,E11))</f>
        <v>4</v>
      </c>
      <c r="BE11" s="120">
        <f>(ROUNDUP(2*BF11,0))/2</f>
        <v>8.5</v>
      </c>
      <c r="BF11" s="120">
        <f t="shared" ref="BF11:BF30" si="20">((IF(T11:T116,BH11,BG11))*AA11/36)*(IF(D11&gt;0,D11,E11))</f>
        <v>8.3333333333333339</v>
      </c>
      <c r="BG11" s="120">
        <f t="shared" ref="BG11:BG30" si="21">I11+16</f>
        <v>120</v>
      </c>
      <c r="BH11" s="120" t="e">
        <f t="shared" ref="BH11:BH30" si="22">(ROUNDUP(BG11/T11,0))*T11</f>
        <v>#DIV/0!</v>
      </c>
      <c r="BI11" s="122">
        <f t="shared" ref="BI11:BI30" si="23">(ROUNDUP((K11+M11)*2.75/36,0))*(IF(D11&gt;0,D11,E11))</f>
        <v>6</v>
      </c>
      <c r="BJ11" s="120"/>
      <c r="BO11" s="196"/>
    </row>
    <row r="12" spans="1:67" s="53" customFormat="1" ht="20.100000000000001" customHeight="1">
      <c r="A12" s="28" t="str">
        <f>HLOOKUP($Z$4,'Data Sheet'!$B$2:$CM$27,3,FALSE)</f>
        <v>P2-22</v>
      </c>
      <c r="B12" s="110" t="s">
        <v>2631</v>
      </c>
      <c r="C12" s="155" t="s">
        <v>122</v>
      </c>
      <c r="D12" s="112">
        <v>1</v>
      </c>
      <c r="E12" s="113"/>
      <c r="F12" s="113"/>
      <c r="G12" s="111">
        <v>60</v>
      </c>
      <c r="H12" s="114">
        <v>3.5</v>
      </c>
      <c r="I12" s="111">
        <v>104</v>
      </c>
      <c r="J12" s="245">
        <f t="shared" ref="J12:J30" si="24">IF(F12="l","left",IF(F12="r","right",IF(F12="f","flat",IF(F12="d","dead",IF(F12="s","sor",IF(F12="st","sor t&amp;b",0))))))</f>
        <v>0</v>
      </c>
      <c r="K12" s="245">
        <f t="shared" ref="K12:K30" si="25">+G12</f>
        <v>60</v>
      </c>
      <c r="L12" s="246" t="str">
        <f t="shared" ref="L12:L30" si="26">IF(F12&gt;"r",0,IF(G12&gt;0,"+",0))</f>
        <v>+</v>
      </c>
      <c r="M12" s="247">
        <f t="shared" ref="M12:M30" si="27">IF(F12="F",0,IF(F12&gt;"r",0,AZ12))</f>
        <v>13</v>
      </c>
      <c r="N12" s="248" t="str">
        <f t="shared" ref="N12:N30" si="28">IF(G12&gt;0,"x",0)</f>
        <v>x</v>
      </c>
      <c r="O12" s="249">
        <f t="shared" si="0"/>
        <v>104</v>
      </c>
      <c r="P12" s="250">
        <f t="shared" si="1"/>
        <v>72</v>
      </c>
      <c r="Q12" s="354">
        <f t="shared" ref="Q12:Q30" si="29">IF(D12+E12&gt;0,IF(F12&gt;"u",0,IF(BA12="RR","RR",+BB12)),0)</f>
        <v>2.5499999999999998</v>
      </c>
      <c r="R12" s="250">
        <f t="shared" si="2"/>
        <v>60</v>
      </c>
      <c r="S12" s="355">
        <f t="shared" ref="S12:S30" si="30">IF($C12&gt;0,ROUND(IF($R12&lt;59,($K12+$M12)/23,IF($R12&lt;65,($K12+$M12)/25,IF($R12&lt;75,($K12+$M12)/30,"RR"))),1)," ")</f>
        <v>2.9</v>
      </c>
      <c r="T12" s="113"/>
      <c r="U12" s="244">
        <f t="shared" si="3"/>
        <v>1</v>
      </c>
      <c r="V12" s="221" t="s">
        <v>2618</v>
      </c>
      <c r="W12" s="221" t="s">
        <v>2499</v>
      </c>
      <c r="X12" s="222" t="s">
        <v>159</v>
      </c>
      <c r="Y12" s="57"/>
      <c r="Z12" s="57"/>
      <c r="AA12" s="362">
        <f t="shared" si="4"/>
        <v>2.5</v>
      </c>
      <c r="AB12" s="357">
        <f t="shared" si="5"/>
        <v>4</v>
      </c>
      <c r="AC12" s="358">
        <f t="shared" si="6"/>
        <v>8.5</v>
      </c>
      <c r="AD12" s="359">
        <f t="shared" si="7"/>
        <v>3</v>
      </c>
      <c r="AE12" s="368">
        <f t="shared" si="8"/>
        <v>9.5</v>
      </c>
      <c r="AF12" s="57" t="s">
        <v>25</v>
      </c>
      <c r="AG12" s="116">
        <f t="shared" si="9"/>
        <v>43.333333333333336</v>
      </c>
      <c r="AH12" s="113">
        <v>40</v>
      </c>
      <c r="AI12" s="113">
        <v>12</v>
      </c>
      <c r="AJ12" s="113"/>
      <c r="AK12" s="117"/>
      <c r="AL12" s="259">
        <f t="shared" si="10"/>
        <v>300</v>
      </c>
      <c r="AM12" s="118">
        <f t="shared" si="11"/>
        <v>60</v>
      </c>
      <c r="AN12" s="260">
        <f t="shared" si="12"/>
        <v>0</v>
      </c>
      <c r="AO12" s="118">
        <f t="shared" si="13"/>
        <v>340</v>
      </c>
      <c r="AP12" s="118">
        <f t="shared" si="14"/>
        <v>114</v>
      </c>
      <c r="AQ12" s="118">
        <f t="shared" si="15"/>
        <v>0</v>
      </c>
      <c r="AR12" s="119">
        <f t="shared" si="16"/>
        <v>814</v>
      </c>
      <c r="AS12" s="184"/>
      <c r="AZ12" s="120">
        <f t="shared" ref="AZ12:AZ30" si="31">IF(AND($D12&gt;0,H12=9),($H12*2)+(3*2),IF(AND($D12&gt;0,H12=6),($H12*2)+(3*2),IF(AND(D12&gt;0,H12&lt;6),($H12*2)+(3*2),IF(AND($E12&gt;0,H12=3.5),$H12+3.5,IF(AND($E12&gt;0,H12=6),$H12+3,0)))))</f>
        <v>13</v>
      </c>
      <c r="BA12" s="120">
        <f t="shared" si="17"/>
        <v>2.5347222222222223</v>
      </c>
      <c r="BB12" s="120">
        <f t="shared" ref="BB12:BB30" si="32">(+ROUNDUP(BA12*2,1))/2</f>
        <v>2.5499999999999998</v>
      </c>
      <c r="BC12" s="121">
        <f t="shared" si="18"/>
        <v>4</v>
      </c>
      <c r="BD12" s="121">
        <f t="shared" si="19"/>
        <v>4</v>
      </c>
      <c r="BE12" s="120">
        <f t="shared" ref="BE12:BE30" si="33">(ROUNDUP(2*BF12,0))/2</f>
        <v>8.5</v>
      </c>
      <c r="BF12" s="120">
        <f t="shared" si="20"/>
        <v>8.3333333333333339</v>
      </c>
      <c r="BG12" s="120">
        <f t="shared" si="21"/>
        <v>120</v>
      </c>
      <c r="BH12" s="120" t="e">
        <f t="shared" si="22"/>
        <v>#DIV/0!</v>
      </c>
      <c r="BI12" s="122">
        <f t="shared" si="23"/>
        <v>6</v>
      </c>
      <c r="BJ12" s="120"/>
      <c r="BK12" s="156" t="s">
        <v>150</v>
      </c>
      <c r="BL12" s="157">
        <v>71</v>
      </c>
      <c r="BN12" s="53" t="s">
        <v>143</v>
      </c>
      <c r="BO12" s="120"/>
    </row>
    <row r="13" spans="1:67" s="53" customFormat="1" ht="20.100000000000001" customHeight="1">
      <c r="A13" s="28" t="str">
        <f>HLOOKUP($Z$4,'Data Sheet'!$B$2:$CM$27,4,FALSE)</f>
        <v>P2-23</v>
      </c>
      <c r="B13" s="110" t="s">
        <v>2632</v>
      </c>
      <c r="C13" s="155" t="s">
        <v>122</v>
      </c>
      <c r="D13" s="112">
        <v>1</v>
      </c>
      <c r="E13" s="113"/>
      <c r="F13" s="113"/>
      <c r="G13" s="111">
        <v>54</v>
      </c>
      <c r="H13" s="114">
        <v>3.5</v>
      </c>
      <c r="I13" s="111">
        <v>104</v>
      </c>
      <c r="J13" s="245">
        <f t="shared" si="24"/>
        <v>0</v>
      </c>
      <c r="K13" s="245">
        <f t="shared" si="25"/>
        <v>54</v>
      </c>
      <c r="L13" s="246" t="str">
        <f t="shared" si="26"/>
        <v>+</v>
      </c>
      <c r="M13" s="247">
        <f t="shared" si="27"/>
        <v>13</v>
      </c>
      <c r="N13" s="248" t="str">
        <f t="shared" si="28"/>
        <v>x</v>
      </c>
      <c r="O13" s="249">
        <f t="shared" si="0"/>
        <v>104</v>
      </c>
      <c r="P13" s="250">
        <f t="shared" si="1"/>
        <v>72</v>
      </c>
      <c r="Q13" s="354">
        <f t="shared" si="29"/>
        <v>2.3499999999999996</v>
      </c>
      <c r="R13" s="250">
        <f t="shared" si="2"/>
        <v>60</v>
      </c>
      <c r="S13" s="355">
        <f t="shared" si="30"/>
        <v>2.7</v>
      </c>
      <c r="T13" s="113"/>
      <c r="U13" s="244">
        <f t="shared" si="3"/>
        <v>1</v>
      </c>
      <c r="V13" s="221" t="s">
        <v>2618</v>
      </c>
      <c r="W13" s="221" t="s">
        <v>2499</v>
      </c>
      <c r="X13" s="222" t="s">
        <v>159</v>
      </c>
      <c r="Y13" s="57"/>
      <c r="Z13" s="57"/>
      <c r="AA13" s="362">
        <f t="shared" si="4"/>
        <v>2.2999999999999998</v>
      </c>
      <c r="AB13" s="357">
        <f t="shared" si="5"/>
        <v>4</v>
      </c>
      <c r="AC13" s="358">
        <f t="shared" si="6"/>
        <v>8</v>
      </c>
      <c r="AD13" s="359">
        <f t="shared" si="7"/>
        <v>3</v>
      </c>
      <c r="AE13" s="368">
        <f t="shared" si="8"/>
        <v>9.5</v>
      </c>
      <c r="AF13" s="57" t="s">
        <v>26</v>
      </c>
      <c r="AG13" s="116">
        <f t="shared" si="9"/>
        <v>39</v>
      </c>
      <c r="AH13" s="113">
        <v>40</v>
      </c>
      <c r="AI13" s="113">
        <v>12</v>
      </c>
      <c r="AJ13" s="113"/>
      <c r="AK13" s="117"/>
      <c r="AL13" s="259">
        <f t="shared" si="10"/>
        <v>300</v>
      </c>
      <c r="AM13" s="118">
        <f t="shared" si="11"/>
        <v>60</v>
      </c>
      <c r="AN13" s="260">
        <f t="shared" si="12"/>
        <v>0</v>
      </c>
      <c r="AO13" s="118">
        <f t="shared" si="13"/>
        <v>320</v>
      </c>
      <c r="AP13" s="118">
        <f t="shared" si="14"/>
        <v>114</v>
      </c>
      <c r="AQ13" s="118">
        <f t="shared" si="15"/>
        <v>0</v>
      </c>
      <c r="AR13" s="119">
        <f t="shared" si="16"/>
        <v>794</v>
      </c>
      <c r="AS13" s="184"/>
      <c r="AZ13" s="120">
        <f t="shared" si="31"/>
        <v>13</v>
      </c>
      <c r="BA13" s="120">
        <f t="shared" si="17"/>
        <v>2.3263888888888888</v>
      </c>
      <c r="BB13" s="120">
        <f t="shared" si="32"/>
        <v>2.3499999999999996</v>
      </c>
      <c r="BC13" s="121">
        <f t="shared" si="18"/>
        <v>4</v>
      </c>
      <c r="BD13" s="121">
        <f t="shared" si="19"/>
        <v>3</v>
      </c>
      <c r="BE13" s="120">
        <f t="shared" si="33"/>
        <v>8</v>
      </c>
      <c r="BF13" s="120">
        <f t="shared" si="20"/>
        <v>7.666666666666667</v>
      </c>
      <c r="BG13" s="120">
        <f t="shared" si="21"/>
        <v>120</v>
      </c>
      <c r="BH13" s="120" t="e">
        <f t="shared" si="22"/>
        <v>#DIV/0!</v>
      </c>
      <c r="BI13" s="122">
        <f t="shared" si="23"/>
        <v>6</v>
      </c>
      <c r="BJ13" s="120"/>
      <c r="BK13" s="156" t="s">
        <v>151</v>
      </c>
      <c r="BL13" s="157">
        <v>68</v>
      </c>
      <c r="BN13" s="53" t="s">
        <v>146</v>
      </c>
      <c r="BO13" s="120"/>
    </row>
    <row r="14" spans="1:67" s="53" customFormat="1" ht="20.100000000000001" customHeight="1">
      <c r="A14" s="28" t="str">
        <f>HLOOKUP($Z$4,'Data Sheet'!$B$2:$CM$27,5,FALSE)</f>
        <v>P2-24</v>
      </c>
      <c r="B14" s="110" t="s">
        <v>2632</v>
      </c>
      <c r="C14" s="155" t="s">
        <v>122</v>
      </c>
      <c r="D14" s="112">
        <v>1</v>
      </c>
      <c r="E14" s="113"/>
      <c r="F14" s="113"/>
      <c r="G14" s="111">
        <v>54</v>
      </c>
      <c r="H14" s="114">
        <v>3.5</v>
      </c>
      <c r="I14" s="111">
        <v>104</v>
      </c>
      <c r="J14" s="245">
        <f t="shared" si="24"/>
        <v>0</v>
      </c>
      <c r="K14" s="245">
        <f t="shared" si="25"/>
        <v>54</v>
      </c>
      <c r="L14" s="246" t="str">
        <f t="shared" si="26"/>
        <v>+</v>
      </c>
      <c r="M14" s="247">
        <f t="shared" si="27"/>
        <v>13</v>
      </c>
      <c r="N14" s="248" t="str">
        <f t="shared" si="28"/>
        <v>x</v>
      </c>
      <c r="O14" s="249">
        <f t="shared" si="0"/>
        <v>104</v>
      </c>
      <c r="P14" s="250">
        <f t="shared" si="1"/>
        <v>72</v>
      </c>
      <c r="Q14" s="354">
        <f t="shared" si="29"/>
        <v>2.3499999999999996</v>
      </c>
      <c r="R14" s="250">
        <f t="shared" si="2"/>
        <v>60</v>
      </c>
      <c r="S14" s="355">
        <f t="shared" si="30"/>
        <v>2.7</v>
      </c>
      <c r="T14" s="113">
        <v>0</v>
      </c>
      <c r="U14" s="244">
        <f t="shared" si="3"/>
        <v>1</v>
      </c>
      <c r="V14" s="221" t="s">
        <v>2618</v>
      </c>
      <c r="W14" s="221" t="s">
        <v>2499</v>
      </c>
      <c r="X14" s="222" t="s">
        <v>159</v>
      </c>
      <c r="Y14" s="57"/>
      <c r="Z14" s="57"/>
      <c r="AA14" s="362">
        <f t="shared" si="4"/>
        <v>2.2999999999999998</v>
      </c>
      <c r="AB14" s="357">
        <f t="shared" si="5"/>
        <v>4</v>
      </c>
      <c r="AC14" s="358">
        <f t="shared" si="6"/>
        <v>8</v>
      </c>
      <c r="AD14" s="359">
        <f t="shared" si="7"/>
        <v>3</v>
      </c>
      <c r="AE14" s="368">
        <f t="shared" si="8"/>
        <v>9.5</v>
      </c>
      <c r="AF14" s="57" t="s">
        <v>27</v>
      </c>
      <c r="AG14" s="116">
        <f t="shared" si="9"/>
        <v>39</v>
      </c>
      <c r="AH14" s="113">
        <v>40</v>
      </c>
      <c r="AI14" s="113">
        <v>12</v>
      </c>
      <c r="AJ14" s="113"/>
      <c r="AK14" s="117"/>
      <c r="AL14" s="259">
        <f t="shared" si="10"/>
        <v>300</v>
      </c>
      <c r="AM14" s="118">
        <f t="shared" si="11"/>
        <v>60</v>
      </c>
      <c r="AN14" s="260">
        <f t="shared" si="12"/>
        <v>0</v>
      </c>
      <c r="AO14" s="118">
        <f t="shared" si="13"/>
        <v>320</v>
      </c>
      <c r="AP14" s="118">
        <f t="shared" si="14"/>
        <v>114</v>
      </c>
      <c r="AQ14" s="118">
        <f t="shared" si="15"/>
        <v>0</v>
      </c>
      <c r="AR14" s="119">
        <f t="shared" si="16"/>
        <v>794</v>
      </c>
      <c r="AS14" s="184"/>
      <c r="AZ14" s="120">
        <f t="shared" si="31"/>
        <v>13</v>
      </c>
      <c r="BA14" s="120">
        <f t="shared" si="17"/>
        <v>2.3263888888888888</v>
      </c>
      <c r="BB14" s="120">
        <f t="shared" si="32"/>
        <v>2.3499999999999996</v>
      </c>
      <c r="BC14" s="121">
        <f t="shared" si="18"/>
        <v>4</v>
      </c>
      <c r="BD14" s="121">
        <f t="shared" si="19"/>
        <v>3</v>
      </c>
      <c r="BE14" s="120">
        <f t="shared" si="33"/>
        <v>8</v>
      </c>
      <c r="BF14" s="120">
        <f t="shared" si="20"/>
        <v>7.666666666666667</v>
      </c>
      <c r="BG14" s="120">
        <f t="shared" si="21"/>
        <v>120</v>
      </c>
      <c r="BH14" s="120" t="e">
        <f t="shared" si="22"/>
        <v>#DIV/0!</v>
      </c>
      <c r="BI14" s="122">
        <f t="shared" si="23"/>
        <v>6</v>
      </c>
      <c r="BJ14" s="120"/>
      <c r="BK14" s="156" t="s">
        <v>2499</v>
      </c>
      <c r="BL14" s="157">
        <v>72</v>
      </c>
      <c r="BN14" s="53" t="s">
        <v>144</v>
      </c>
      <c r="BO14" s="120"/>
    </row>
    <row r="15" spans="1:67" s="53" customFormat="1" ht="20.100000000000001" customHeight="1">
      <c r="A15" s="28" t="str">
        <f>HLOOKUP($Z$4,'Data Sheet'!$B$2:$CM$27,6,FALSE)</f>
        <v>P2-25</v>
      </c>
      <c r="B15" s="110" t="s">
        <v>2622</v>
      </c>
      <c r="C15" s="155" t="s">
        <v>122</v>
      </c>
      <c r="D15" s="112">
        <v>1</v>
      </c>
      <c r="E15" s="113"/>
      <c r="F15" s="113"/>
      <c r="G15" s="111">
        <v>44</v>
      </c>
      <c r="H15" s="114">
        <v>3.5</v>
      </c>
      <c r="I15" s="111">
        <v>83</v>
      </c>
      <c r="J15" s="245">
        <f t="shared" si="24"/>
        <v>0</v>
      </c>
      <c r="K15" s="245">
        <f t="shared" si="25"/>
        <v>44</v>
      </c>
      <c r="L15" s="246" t="str">
        <f t="shared" si="26"/>
        <v>+</v>
      </c>
      <c r="M15" s="247">
        <f t="shared" si="27"/>
        <v>13</v>
      </c>
      <c r="N15" s="248" t="str">
        <f t="shared" si="28"/>
        <v>x</v>
      </c>
      <c r="O15" s="249">
        <f t="shared" si="0"/>
        <v>83</v>
      </c>
      <c r="P15" s="250">
        <f t="shared" si="1"/>
        <v>72</v>
      </c>
      <c r="Q15" s="354">
        <f t="shared" si="29"/>
        <v>2</v>
      </c>
      <c r="R15" s="250">
        <f t="shared" si="2"/>
        <v>60</v>
      </c>
      <c r="S15" s="355">
        <f t="shared" si="30"/>
        <v>2.2999999999999998</v>
      </c>
      <c r="T15" s="113">
        <v>0</v>
      </c>
      <c r="U15" s="244">
        <f t="shared" si="3"/>
        <v>1</v>
      </c>
      <c r="V15" s="221" t="s">
        <v>2618</v>
      </c>
      <c r="W15" s="221" t="s">
        <v>2499</v>
      </c>
      <c r="X15" s="222" t="s">
        <v>159</v>
      </c>
      <c r="Y15" s="57"/>
      <c r="Z15" s="57"/>
      <c r="AA15" s="362">
        <f t="shared" si="4"/>
        <v>2</v>
      </c>
      <c r="AB15" s="357">
        <f t="shared" si="5"/>
        <v>2</v>
      </c>
      <c r="AC15" s="358">
        <f t="shared" si="6"/>
        <v>5.5</v>
      </c>
      <c r="AD15" s="359">
        <f t="shared" si="7"/>
        <v>3</v>
      </c>
      <c r="AE15" s="368">
        <f t="shared" si="8"/>
        <v>7.75</v>
      </c>
      <c r="AF15" s="57" t="s">
        <v>28</v>
      </c>
      <c r="AG15" s="116">
        <f t="shared" si="9"/>
        <v>25.361111111111111</v>
      </c>
      <c r="AH15" s="113">
        <v>40</v>
      </c>
      <c r="AI15" s="113">
        <v>12</v>
      </c>
      <c r="AJ15" s="113"/>
      <c r="AK15" s="117"/>
      <c r="AL15" s="259">
        <f t="shared" si="10"/>
        <v>150</v>
      </c>
      <c r="AM15" s="118">
        <f t="shared" si="11"/>
        <v>30</v>
      </c>
      <c r="AN15" s="260">
        <f t="shared" si="12"/>
        <v>0</v>
      </c>
      <c r="AO15" s="118">
        <f t="shared" si="13"/>
        <v>220</v>
      </c>
      <c r="AP15" s="118">
        <f t="shared" si="14"/>
        <v>93</v>
      </c>
      <c r="AQ15" s="118">
        <f t="shared" si="15"/>
        <v>0</v>
      </c>
      <c r="AR15" s="119">
        <f t="shared" si="16"/>
        <v>493</v>
      </c>
      <c r="AS15" s="184"/>
      <c r="AZ15" s="120">
        <f t="shared" si="31"/>
        <v>13</v>
      </c>
      <c r="BA15" s="120">
        <f t="shared" si="17"/>
        <v>1.9791666666666667</v>
      </c>
      <c r="BB15" s="120">
        <f t="shared" si="32"/>
        <v>2</v>
      </c>
      <c r="BC15" s="121">
        <f t="shared" si="18"/>
        <v>2</v>
      </c>
      <c r="BD15" s="121">
        <f t="shared" si="19"/>
        <v>3</v>
      </c>
      <c r="BE15" s="120">
        <f t="shared" si="33"/>
        <v>5.5</v>
      </c>
      <c r="BF15" s="120">
        <f t="shared" si="20"/>
        <v>5.5</v>
      </c>
      <c r="BG15" s="120">
        <f t="shared" si="21"/>
        <v>99</v>
      </c>
      <c r="BH15" s="120" t="e">
        <f t="shared" si="22"/>
        <v>#DIV/0!</v>
      </c>
      <c r="BI15" s="122">
        <f t="shared" si="23"/>
        <v>5</v>
      </c>
      <c r="BJ15" s="120"/>
      <c r="BK15" s="156" t="s">
        <v>2500</v>
      </c>
      <c r="BL15" s="157">
        <v>58</v>
      </c>
      <c r="BN15" s="53" t="s">
        <v>149</v>
      </c>
      <c r="BO15" s="120"/>
    </row>
    <row r="16" spans="1:67" s="53" customFormat="1" ht="20.100000000000001" customHeight="1">
      <c r="A16" s="28" t="str">
        <f>HLOOKUP($Z$4,'Data Sheet'!$B$2:$CM$27,7,FALSE)</f>
        <v>P2-26</v>
      </c>
      <c r="B16" s="110" t="s">
        <v>2633</v>
      </c>
      <c r="C16" s="155" t="s">
        <v>122</v>
      </c>
      <c r="D16" s="112">
        <v>1</v>
      </c>
      <c r="E16" s="113"/>
      <c r="F16" s="113"/>
      <c r="G16" s="111">
        <v>44</v>
      </c>
      <c r="H16" s="114">
        <v>3.5</v>
      </c>
      <c r="I16" s="111">
        <v>83</v>
      </c>
      <c r="J16" s="245">
        <f t="shared" si="24"/>
        <v>0</v>
      </c>
      <c r="K16" s="245">
        <f t="shared" si="25"/>
        <v>44</v>
      </c>
      <c r="L16" s="246" t="str">
        <f t="shared" si="26"/>
        <v>+</v>
      </c>
      <c r="M16" s="247">
        <f t="shared" si="27"/>
        <v>13</v>
      </c>
      <c r="N16" s="248" t="str">
        <f t="shared" si="28"/>
        <v>x</v>
      </c>
      <c r="O16" s="249">
        <f t="shared" si="0"/>
        <v>83</v>
      </c>
      <c r="P16" s="250">
        <f t="shared" si="1"/>
        <v>72</v>
      </c>
      <c r="Q16" s="354">
        <f t="shared" si="29"/>
        <v>2</v>
      </c>
      <c r="R16" s="250">
        <f t="shared" si="2"/>
        <v>60</v>
      </c>
      <c r="S16" s="355">
        <f t="shared" si="30"/>
        <v>2.2999999999999998</v>
      </c>
      <c r="T16" s="113">
        <v>0</v>
      </c>
      <c r="U16" s="244">
        <f t="shared" si="3"/>
        <v>1</v>
      </c>
      <c r="V16" s="221" t="s">
        <v>2618</v>
      </c>
      <c r="W16" s="221" t="s">
        <v>2499</v>
      </c>
      <c r="X16" s="222" t="s">
        <v>159</v>
      </c>
      <c r="Y16" s="57"/>
      <c r="Z16" s="57"/>
      <c r="AA16" s="362">
        <f t="shared" si="4"/>
        <v>2</v>
      </c>
      <c r="AB16" s="357">
        <f t="shared" si="5"/>
        <v>2</v>
      </c>
      <c r="AC16" s="358">
        <f t="shared" si="6"/>
        <v>5.5</v>
      </c>
      <c r="AD16" s="359">
        <f t="shared" si="7"/>
        <v>3</v>
      </c>
      <c r="AE16" s="368">
        <f t="shared" si="8"/>
        <v>7.75</v>
      </c>
      <c r="AF16" s="57" t="s">
        <v>29</v>
      </c>
      <c r="AG16" s="116">
        <f t="shared" si="9"/>
        <v>25.361111111111111</v>
      </c>
      <c r="AH16" s="113">
        <v>40</v>
      </c>
      <c r="AI16" s="113">
        <v>12</v>
      </c>
      <c r="AJ16" s="113"/>
      <c r="AK16" s="117"/>
      <c r="AL16" s="259">
        <f t="shared" si="10"/>
        <v>150</v>
      </c>
      <c r="AM16" s="118">
        <f t="shared" si="11"/>
        <v>30</v>
      </c>
      <c r="AN16" s="260">
        <f t="shared" si="12"/>
        <v>0</v>
      </c>
      <c r="AO16" s="118">
        <f t="shared" si="13"/>
        <v>220</v>
      </c>
      <c r="AP16" s="118">
        <f t="shared" si="14"/>
        <v>93</v>
      </c>
      <c r="AQ16" s="118">
        <f t="shared" si="15"/>
        <v>0</v>
      </c>
      <c r="AR16" s="119">
        <f t="shared" si="16"/>
        <v>493</v>
      </c>
      <c r="AS16" s="184"/>
      <c r="AZ16" s="120">
        <f t="shared" si="31"/>
        <v>13</v>
      </c>
      <c r="BA16" s="120">
        <f t="shared" si="17"/>
        <v>1.9791666666666667</v>
      </c>
      <c r="BB16" s="120">
        <f t="shared" si="32"/>
        <v>2</v>
      </c>
      <c r="BC16" s="121">
        <f t="shared" si="18"/>
        <v>2</v>
      </c>
      <c r="BD16" s="121">
        <f t="shared" si="19"/>
        <v>3</v>
      </c>
      <c r="BE16" s="120">
        <f t="shared" si="33"/>
        <v>5.5</v>
      </c>
      <c r="BF16" s="120">
        <f t="shared" si="20"/>
        <v>5.5</v>
      </c>
      <c r="BG16" s="120">
        <f t="shared" si="21"/>
        <v>99</v>
      </c>
      <c r="BH16" s="120" t="e">
        <f t="shared" si="22"/>
        <v>#DIV/0!</v>
      </c>
      <c r="BI16" s="122">
        <f t="shared" si="23"/>
        <v>5</v>
      </c>
      <c r="BJ16" s="120"/>
      <c r="BK16" s="156" t="s">
        <v>158</v>
      </c>
      <c r="BL16" s="157">
        <v>60</v>
      </c>
      <c r="BN16" s="53" t="s">
        <v>147</v>
      </c>
      <c r="BO16" s="120"/>
    </row>
    <row r="17" spans="1:67" s="53" customFormat="1" ht="20.100000000000001" customHeight="1">
      <c r="A17" s="28" t="str">
        <f>HLOOKUP($Z$4,'Data Sheet'!$B$2:$CM$27,8,FALSE)</f>
        <v>P2-27</v>
      </c>
      <c r="B17" s="110" t="s">
        <v>2626</v>
      </c>
      <c r="C17" s="155"/>
      <c r="D17" s="112">
        <v>1</v>
      </c>
      <c r="E17" s="113"/>
      <c r="F17" s="113"/>
      <c r="G17" s="111">
        <v>40</v>
      </c>
      <c r="H17" s="114">
        <v>3.5</v>
      </c>
      <c r="I17" s="111">
        <v>144</v>
      </c>
      <c r="J17" s="245">
        <f t="shared" si="24"/>
        <v>0</v>
      </c>
      <c r="K17" s="245">
        <f t="shared" si="25"/>
        <v>40</v>
      </c>
      <c r="L17" s="246" t="str">
        <f t="shared" si="26"/>
        <v>+</v>
      </c>
      <c r="M17" s="247">
        <f t="shared" si="27"/>
        <v>13</v>
      </c>
      <c r="N17" s="248" t="str">
        <f t="shared" si="28"/>
        <v>x</v>
      </c>
      <c r="O17" s="249">
        <f t="shared" si="0"/>
        <v>144</v>
      </c>
      <c r="P17" s="250">
        <f t="shared" si="1"/>
        <v>60</v>
      </c>
      <c r="Q17" s="354">
        <f t="shared" si="29"/>
        <v>2.25</v>
      </c>
      <c r="R17" s="250" t="str">
        <f t="shared" si="2"/>
        <v xml:space="preserve"> </v>
      </c>
      <c r="S17" s="355" t="str">
        <f t="shared" si="30"/>
        <v xml:space="preserve"> </v>
      </c>
      <c r="T17" s="113">
        <v>0</v>
      </c>
      <c r="U17" s="244">
        <f t="shared" si="3"/>
        <v>1</v>
      </c>
      <c r="V17" s="221" t="s">
        <v>2618</v>
      </c>
      <c r="W17" s="221" t="s">
        <v>158</v>
      </c>
      <c r="X17" s="222"/>
      <c r="Y17" s="57"/>
      <c r="Z17" s="57"/>
      <c r="AA17" s="362">
        <f t="shared" si="4"/>
        <v>2.2000000000000002</v>
      </c>
      <c r="AB17" s="357">
        <f t="shared" si="5"/>
        <v>4</v>
      </c>
      <c r="AC17" s="358">
        <f t="shared" si="6"/>
        <v>10</v>
      </c>
      <c r="AD17" s="359" t="str">
        <f t="shared" si="7"/>
        <v xml:space="preserve"> </v>
      </c>
      <c r="AE17" s="368">
        <f t="shared" si="8"/>
        <v>0</v>
      </c>
      <c r="AF17" s="57" t="s">
        <v>30</v>
      </c>
      <c r="AG17" s="116">
        <f t="shared" si="9"/>
        <v>40</v>
      </c>
      <c r="AH17" s="113">
        <v>25</v>
      </c>
      <c r="AI17" s="113"/>
      <c r="AJ17" s="113"/>
      <c r="AK17" s="117"/>
      <c r="AL17" s="259">
        <f t="shared" si="10"/>
        <v>200</v>
      </c>
      <c r="AM17" s="118">
        <f t="shared" si="11"/>
        <v>60</v>
      </c>
      <c r="AN17" s="260">
        <f t="shared" si="12"/>
        <v>0</v>
      </c>
      <c r="AO17" s="118">
        <f t="shared" si="13"/>
        <v>250</v>
      </c>
      <c r="AP17" s="118" t="str">
        <f t="shared" si="14"/>
        <v xml:space="preserve"> </v>
      </c>
      <c r="AQ17" s="118">
        <f t="shared" si="15"/>
        <v>0</v>
      </c>
      <c r="AR17" s="119">
        <f t="shared" si="16"/>
        <v>510</v>
      </c>
      <c r="AS17" s="184"/>
      <c r="AZ17" s="120">
        <f t="shared" si="31"/>
        <v>13</v>
      </c>
      <c r="BA17" s="120">
        <f t="shared" si="17"/>
        <v>2.2083333333333335</v>
      </c>
      <c r="BB17" s="120">
        <f t="shared" si="32"/>
        <v>2.25</v>
      </c>
      <c r="BC17" s="121">
        <f t="shared" si="18"/>
        <v>4</v>
      </c>
      <c r="BD17" s="121">
        <f t="shared" si="19"/>
        <v>3</v>
      </c>
      <c r="BE17" s="120">
        <f t="shared" si="33"/>
        <v>10</v>
      </c>
      <c r="BF17" s="120">
        <f t="shared" si="20"/>
        <v>9.7777777777777786</v>
      </c>
      <c r="BG17" s="120">
        <f t="shared" si="21"/>
        <v>160</v>
      </c>
      <c r="BH17" s="120" t="e">
        <f t="shared" si="22"/>
        <v>#DIV/0!</v>
      </c>
      <c r="BI17" s="122">
        <f t="shared" si="23"/>
        <v>5</v>
      </c>
      <c r="BJ17" s="120"/>
      <c r="BK17" s="156" t="s">
        <v>152</v>
      </c>
      <c r="BL17" s="157">
        <v>58</v>
      </c>
      <c r="BN17" s="53" t="s">
        <v>148</v>
      </c>
      <c r="BO17" s="120"/>
    </row>
    <row r="18" spans="1:67" s="53" customFormat="1" ht="20.100000000000001" customHeight="1">
      <c r="A18" s="28" t="str">
        <f>HLOOKUP($Z$4,'Data Sheet'!$B$2:$CM$27,9,FALSE)</f>
        <v>P2-28</v>
      </c>
      <c r="B18" s="110" t="s">
        <v>2626</v>
      </c>
      <c r="C18" s="155"/>
      <c r="D18" s="112">
        <v>1</v>
      </c>
      <c r="E18" s="113"/>
      <c r="F18" s="113"/>
      <c r="G18" s="111">
        <v>40</v>
      </c>
      <c r="H18" s="114">
        <v>3.5</v>
      </c>
      <c r="I18" s="111">
        <v>144</v>
      </c>
      <c r="J18" s="245">
        <f t="shared" si="24"/>
        <v>0</v>
      </c>
      <c r="K18" s="245">
        <f t="shared" si="25"/>
        <v>40</v>
      </c>
      <c r="L18" s="246" t="str">
        <f t="shared" si="26"/>
        <v>+</v>
      </c>
      <c r="M18" s="247">
        <f t="shared" si="27"/>
        <v>13</v>
      </c>
      <c r="N18" s="248" t="str">
        <f t="shared" si="28"/>
        <v>x</v>
      </c>
      <c r="O18" s="249">
        <f t="shared" si="0"/>
        <v>144</v>
      </c>
      <c r="P18" s="250">
        <f t="shared" si="1"/>
        <v>60</v>
      </c>
      <c r="Q18" s="354">
        <f t="shared" si="29"/>
        <v>2.25</v>
      </c>
      <c r="R18" s="250" t="str">
        <f t="shared" si="2"/>
        <v xml:space="preserve"> </v>
      </c>
      <c r="S18" s="355" t="str">
        <f t="shared" si="30"/>
        <v xml:space="preserve"> </v>
      </c>
      <c r="T18" s="113">
        <v>0</v>
      </c>
      <c r="U18" s="244">
        <f t="shared" si="3"/>
        <v>1</v>
      </c>
      <c r="V18" s="221" t="s">
        <v>2618</v>
      </c>
      <c r="W18" s="221" t="s">
        <v>158</v>
      </c>
      <c r="X18" s="222"/>
      <c r="Y18" s="57"/>
      <c r="Z18" s="57"/>
      <c r="AA18" s="362">
        <f t="shared" si="4"/>
        <v>2.2000000000000002</v>
      </c>
      <c r="AB18" s="357">
        <f t="shared" si="5"/>
        <v>4</v>
      </c>
      <c r="AC18" s="358">
        <f t="shared" si="6"/>
        <v>10</v>
      </c>
      <c r="AD18" s="359" t="str">
        <f t="shared" si="7"/>
        <v xml:space="preserve"> </v>
      </c>
      <c r="AE18" s="368">
        <f t="shared" si="8"/>
        <v>0</v>
      </c>
      <c r="AF18" s="57" t="s">
        <v>31</v>
      </c>
      <c r="AG18" s="116">
        <f t="shared" si="9"/>
        <v>40</v>
      </c>
      <c r="AH18" s="113">
        <v>25</v>
      </c>
      <c r="AI18" s="113"/>
      <c r="AJ18" s="113"/>
      <c r="AK18" s="117"/>
      <c r="AL18" s="259">
        <f t="shared" si="10"/>
        <v>200</v>
      </c>
      <c r="AM18" s="118">
        <f t="shared" si="11"/>
        <v>60</v>
      </c>
      <c r="AN18" s="260">
        <f t="shared" si="12"/>
        <v>0</v>
      </c>
      <c r="AO18" s="118">
        <f t="shared" si="13"/>
        <v>250</v>
      </c>
      <c r="AP18" s="118" t="str">
        <f t="shared" si="14"/>
        <v xml:space="preserve"> </v>
      </c>
      <c r="AQ18" s="118">
        <f t="shared" si="15"/>
        <v>0</v>
      </c>
      <c r="AR18" s="119">
        <f t="shared" si="16"/>
        <v>510</v>
      </c>
      <c r="AS18" s="184"/>
      <c r="AZ18" s="120">
        <f t="shared" si="31"/>
        <v>13</v>
      </c>
      <c r="BA18" s="120">
        <f t="shared" si="17"/>
        <v>2.2083333333333335</v>
      </c>
      <c r="BB18" s="120">
        <f t="shared" si="32"/>
        <v>2.25</v>
      </c>
      <c r="BC18" s="121">
        <f t="shared" si="18"/>
        <v>4</v>
      </c>
      <c r="BD18" s="121">
        <f t="shared" si="19"/>
        <v>3</v>
      </c>
      <c r="BE18" s="120">
        <f t="shared" si="33"/>
        <v>10</v>
      </c>
      <c r="BF18" s="120">
        <f t="shared" si="20"/>
        <v>9.7777777777777786</v>
      </c>
      <c r="BG18" s="120">
        <f t="shared" si="21"/>
        <v>160</v>
      </c>
      <c r="BH18" s="120" t="e">
        <f t="shared" si="22"/>
        <v>#DIV/0!</v>
      </c>
      <c r="BI18" s="122">
        <f t="shared" si="23"/>
        <v>5</v>
      </c>
      <c r="BJ18" s="120"/>
      <c r="BK18" s="156" t="s">
        <v>153</v>
      </c>
      <c r="BL18" s="157">
        <v>58</v>
      </c>
      <c r="BO18" s="196"/>
    </row>
    <row r="19" spans="1:67" s="53" customFormat="1" ht="20.100000000000001" customHeight="1">
      <c r="A19" s="28" t="str">
        <f>HLOOKUP($Z$4,'Data Sheet'!$B$2:$CM$27,10,FALSE)</f>
        <v>P2-29</v>
      </c>
      <c r="B19" s="110" t="s">
        <v>2626</v>
      </c>
      <c r="C19" s="155"/>
      <c r="D19" s="112">
        <v>1</v>
      </c>
      <c r="E19" s="113"/>
      <c r="F19" s="113"/>
      <c r="G19" s="111">
        <v>40</v>
      </c>
      <c r="H19" s="114">
        <v>3.5</v>
      </c>
      <c r="I19" s="111">
        <v>144</v>
      </c>
      <c r="J19" s="245">
        <f t="shared" si="24"/>
        <v>0</v>
      </c>
      <c r="K19" s="245">
        <f>+G19</f>
        <v>40</v>
      </c>
      <c r="L19" s="246" t="str">
        <f>IF(F19&gt;"r",0,IF(G19&gt;0,"+",0))</f>
        <v>+</v>
      </c>
      <c r="M19" s="247">
        <f t="shared" si="27"/>
        <v>13</v>
      </c>
      <c r="N19" s="248" t="str">
        <f>IF(G19&gt;0,"x",0)</f>
        <v>x</v>
      </c>
      <c r="O19" s="249">
        <f>+I19</f>
        <v>144</v>
      </c>
      <c r="P19" s="250">
        <f t="shared" si="1"/>
        <v>60</v>
      </c>
      <c r="Q19" s="354">
        <f t="shared" si="29"/>
        <v>2.25</v>
      </c>
      <c r="R19" s="250" t="str">
        <f t="shared" si="2"/>
        <v xml:space="preserve"> </v>
      </c>
      <c r="S19" s="355" t="str">
        <f t="shared" si="30"/>
        <v xml:space="preserve"> </v>
      </c>
      <c r="T19" s="113">
        <v>0</v>
      </c>
      <c r="U19" s="244">
        <f t="shared" si="3"/>
        <v>1</v>
      </c>
      <c r="V19" s="221" t="s">
        <v>2618</v>
      </c>
      <c r="W19" s="221" t="s">
        <v>158</v>
      </c>
      <c r="X19" s="222"/>
      <c r="Y19" s="57"/>
      <c r="Z19" s="57"/>
      <c r="AA19" s="362">
        <f t="shared" si="4"/>
        <v>2.2000000000000002</v>
      </c>
      <c r="AB19" s="357">
        <f t="shared" si="5"/>
        <v>4</v>
      </c>
      <c r="AC19" s="358">
        <f t="shared" si="6"/>
        <v>10</v>
      </c>
      <c r="AD19" s="359" t="str">
        <f t="shared" si="7"/>
        <v xml:space="preserve"> </v>
      </c>
      <c r="AE19" s="368">
        <f t="shared" si="8"/>
        <v>0</v>
      </c>
      <c r="AF19" s="57" t="s">
        <v>32</v>
      </c>
      <c r="AG19" s="116">
        <f t="shared" si="9"/>
        <v>40</v>
      </c>
      <c r="AH19" s="113">
        <v>25</v>
      </c>
      <c r="AI19" s="113"/>
      <c r="AJ19" s="113"/>
      <c r="AK19" s="117"/>
      <c r="AL19" s="259">
        <f t="shared" si="10"/>
        <v>200</v>
      </c>
      <c r="AM19" s="118">
        <f t="shared" si="11"/>
        <v>60</v>
      </c>
      <c r="AN19" s="260">
        <f t="shared" si="12"/>
        <v>0</v>
      </c>
      <c r="AO19" s="118">
        <f t="shared" si="13"/>
        <v>250</v>
      </c>
      <c r="AP19" s="118" t="str">
        <f t="shared" si="14"/>
        <v xml:space="preserve"> </v>
      </c>
      <c r="AQ19" s="118">
        <f t="shared" si="15"/>
        <v>0</v>
      </c>
      <c r="AR19" s="119">
        <f t="shared" si="16"/>
        <v>510</v>
      </c>
      <c r="AS19" s="184"/>
      <c r="AZ19" s="120">
        <f t="shared" si="31"/>
        <v>13</v>
      </c>
      <c r="BA19" s="120">
        <f t="shared" si="17"/>
        <v>2.2083333333333335</v>
      </c>
      <c r="BB19" s="120">
        <f t="shared" si="32"/>
        <v>2.25</v>
      </c>
      <c r="BC19" s="121">
        <f t="shared" si="18"/>
        <v>4</v>
      </c>
      <c r="BD19" s="121">
        <f t="shared" si="19"/>
        <v>3</v>
      </c>
      <c r="BE19" s="120">
        <f t="shared" si="33"/>
        <v>10</v>
      </c>
      <c r="BF19" s="120">
        <f t="shared" si="20"/>
        <v>9.7777777777777786</v>
      </c>
      <c r="BG19" s="120">
        <f t="shared" si="21"/>
        <v>160</v>
      </c>
      <c r="BH19" s="120" t="e">
        <f t="shared" si="22"/>
        <v>#DIV/0!</v>
      </c>
      <c r="BI19" s="122">
        <f t="shared" si="23"/>
        <v>5</v>
      </c>
      <c r="BJ19" s="120"/>
      <c r="BK19" s="156" t="s">
        <v>154</v>
      </c>
      <c r="BL19" s="157">
        <v>48</v>
      </c>
      <c r="BO19" s="196"/>
    </row>
    <row r="20" spans="1:67" s="53" customFormat="1" ht="20.100000000000001" customHeight="1">
      <c r="A20" s="28" t="str">
        <f>HLOOKUP($Z$4,'Data Sheet'!$B$2:$CM$27,11,FALSE)</f>
        <v>P2-30</v>
      </c>
      <c r="B20" s="110" t="s">
        <v>2626</v>
      </c>
      <c r="C20" s="155"/>
      <c r="D20" s="112">
        <v>1</v>
      </c>
      <c r="E20" s="113"/>
      <c r="F20" s="113"/>
      <c r="G20" s="111">
        <v>40</v>
      </c>
      <c r="H20" s="114">
        <v>3.5</v>
      </c>
      <c r="I20" s="111">
        <v>144</v>
      </c>
      <c r="J20" s="245">
        <f t="shared" si="24"/>
        <v>0</v>
      </c>
      <c r="K20" s="245">
        <f>+G20</f>
        <v>40</v>
      </c>
      <c r="L20" s="246" t="str">
        <f>IF(F20&gt;"r",0,IF(G20&gt;0,"+",0))</f>
        <v>+</v>
      </c>
      <c r="M20" s="247">
        <f t="shared" si="27"/>
        <v>13</v>
      </c>
      <c r="N20" s="248" t="str">
        <f>IF(G20&gt;0,"x",0)</f>
        <v>x</v>
      </c>
      <c r="O20" s="249">
        <f>+I20</f>
        <v>144</v>
      </c>
      <c r="P20" s="250">
        <f t="shared" si="1"/>
        <v>60</v>
      </c>
      <c r="Q20" s="354">
        <f t="shared" si="29"/>
        <v>2.25</v>
      </c>
      <c r="R20" s="250" t="str">
        <f t="shared" si="2"/>
        <v xml:space="preserve"> </v>
      </c>
      <c r="S20" s="355" t="str">
        <f t="shared" si="30"/>
        <v xml:space="preserve"> </v>
      </c>
      <c r="T20" s="113">
        <v>0</v>
      </c>
      <c r="U20" s="244">
        <f>+D20+E20</f>
        <v>1</v>
      </c>
      <c r="V20" s="221" t="s">
        <v>2618</v>
      </c>
      <c r="W20" s="221" t="s">
        <v>158</v>
      </c>
      <c r="X20" s="222"/>
      <c r="Y20" s="57"/>
      <c r="Z20" s="57"/>
      <c r="AA20" s="362">
        <f t="shared" si="4"/>
        <v>2.2000000000000002</v>
      </c>
      <c r="AB20" s="357">
        <f t="shared" si="5"/>
        <v>4</v>
      </c>
      <c r="AC20" s="358">
        <f t="shared" si="6"/>
        <v>10</v>
      </c>
      <c r="AD20" s="359" t="str">
        <f t="shared" si="7"/>
        <v xml:space="preserve"> </v>
      </c>
      <c r="AE20" s="368">
        <f t="shared" si="8"/>
        <v>0</v>
      </c>
      <c r="AF20" s="57" t="s">
        <v>33</v>
      </c>
      <c r="AG20" s="116">
        <f t="shared" si="9"/>
        <v>40</v>
      </c>
      <c r="AH20" s="113">
        <v>25</v>
      </c>
      <c r="AI20" s="113"/>
      <c r="AJ20" s="113"/>
      <c r="AK20" s="117"/>
      <c r="AL20" s="259">
        <f t="shared" si="10"/>
        <v>200</v>
      </c>
      <c r="AM20" s="118">
        <f t="shared" si="11"/>
        <v>60</v>
      </c>
      <c r="AN20" s="260">
        <f t="shared" si="12"/>
        <v>0</v>
      </c>
      <c r="AO20" s="118">
        <f t="shared" si="13"/>
        <v>250</v>
      </c>
      <c r="AP20" s="118" t="str">
        <f t="shared" si="14"/>
        <v xml:space="preserve"> </v>
      </c>
      <c r="AQ20" s="118">
        <f t="shared" si="15"/>
        <v>0</v>
      </c>
      <c r="AR20" s="119">
        <f t="shared" si="16"/>
        <v>510</v>
      </c>
      <c r="AS20" s="184"/>
      <c r="AZ20" s="120">
        <f t="shared" si="31"/>
        <v>13</v>
      </c>
      <c r="BA20" s="120">
        <f t="shared" si="17"/>
        <v>2.2083333333333335</v>
      </c>
      <c r="BB20" s="120">
        <f t="shared" si="32"/>
        <v>2.25</v>
      </c>
      <c r="BC20" s="121">
        <f t="shared" si="18"/>
        <v>4</v>
      </c>
      <c r="BD20" s="121">
        <f t="shared" si="19"/>
        <v>3</v>
      </c>
      <c r="BE20" s="120">
        <f t="shared" si="33"/>
        <v>10</v>
      </c>
      <c r="BF20" s="120">
        <f t="shared" si="20"/>
        <v>9.7777777777777786</v>
      </c>
      <c r="BG20" s="120">
        <f t="shared" si="21"/>
        <v>160</v>
      </c>
      <c r="BH20" s="120" t="e">
        <f t="shared" si="22"/>
        <v>#DIV/0!</v>
      </c>
      <c r="BI20" s="122">
        <f t="shared" si="23"/>
        <v>5</v>
      </c>
      <c r="BJ20" s="120"/>
      <c r="BK20" s="156" t="s">
        <v>155</v>
      </c>
      <c r="BL20" s="157">
        <v>58</v>
      </c>
      <c r="BO20" s="196"/>
    </row>
    <row r="21" spans="1:67" s="53" customFormat="1" ht="20.100000000000001" customHeight="1">
      <c r="A21" s="28" t="str">
        <f>HLOOKUP($Z$4,'Data Sheet'!$B$2:$CM$27,12,FALSE)</f>
        <v>P2-31</v>
      </c>
      <c r="B21" s="110"/>
      <c r="C21" s="155"/>
      <c r="D21" s="112"/>
      <c r="E21" s="113"/>
      <c r="F21" s="113"/>
      <c r="G21" s="111"/>
      <c r="H21" s="114"/>
      <c r="I21" s="111"/>
      <c r="J21" s="245">
        <f t="shared" si="24"/>
        <v>0</v>
      </c>
      <c r="K21" s="245">
        <f t="shared" si="25"/>
        <v>0</v>
      </c>
      <c r="L21" s="246">
        <f t="shared" si="26"/>
        <v>0</v>
      </c>
      <c r="M21" s="247">
        <f t="shared" si="27"/>
        <v>0</v>
      </c>
      <c r="N21" s="248">
        <f t="shared" si="28"/>
        <v>0</v>
      </c>
      <c r="O21" s="249">
        <f t="shared" si="0"/>
        <v>0</v>
      </c>
      <c r="P21" s="250" t="str">
        <f t="shared" si="1"/>
        <v xml:space="preserve"> </v>
      </c>
      <c r="Q21" s="354">
        <f t="shared" si="29"/>
        <v>0</v>
      </c>
      <c r="R21" s="250" t="str">
        <f t="shared" si="2"/>
        <v xml:space="preserve"> </v>
      </c>
      <c r="S21" s="355" t="str">
        <f t="shared" si="30"/>
        <v xml:space="preserve"> </v>
      </c>
      <c r="T21" s="113">
        <v>0</v>
      </c>
      <c r="U21" s="244">
        <f t="shared" si="3"/>
        <v>0</v>
      </c>
      <c r="V21" s="221"/>
      <c r="W21" s="221"/>
      <c r="X21" s="222"/>
      <c r="Y21" s="57"/>
      <c r="Z21" s="57"/>
      <c r="AA21" s="362">
        <f t="shared" si="4"/>
        <v>0</v>
      </c>
      <c r="AB21" s="357">
        <f t="shared" si="5"/>
        <v>0</v>
      </c>
      <c r="AC21" s="358">
        <f t="shared" si="6"/>
        <v>0</v>
      </c>
      <c r="AD21" s="359" t="str">
        <f t="shared" si="7"/>
        <v xml:space="preserve"> </v>
      </c>
      <c r="AE21" s="368">
        <f t="shared" si="8"/>
        <v>0</v>
      </c>
      <c r="AF21" s="57" t="s">
        <v>34</v>
      </c>
      <c r="AG21" s="116">
        <f t="shared" si="9"/>
        <v>0</v>
      </c>
      <c r="AH21" s="113"/>
      <c r="AI21" s="113"/>
      <c r="AJ21" s="113"/>
      <c r="AK21" s="117"/>
      <c r="AL21" s="259">
        <f t="shared" si="10"/>
        <v>0</v>
      </c>
      <c r="AM21" s="118">
        <f t="shared" si="11"/>
        <v>0</v>
      </c>
      <c r="AN21" s="260">
        <f t="shared" si="12"/>
        <v>0</v>
      </c>
      <c r="AO21" s="118">
        <f t="shared" si="13"/>
        <v>0</v>
      </c>
      <c r="AP21" s="118" t="str">
        <f t="shared" si="14"/>
        <v xml:space="preserve"> </v>
      </c>
      <c r="AQ21" s="118">
        <f t="shared" si="15"/>
        <v>0</v>
      </c>
      <c r="AR21" s="119">
        <f t="shared" si="16"/>
        <v>0</v>
      </c>
      <c r="AS21" s="184"/>
      <c r="AZ21" s="120">
        <f t="shared" si="31"/>
        <v>0</v>
      </c>
      <c r="BA21" s="120" t="str">
        <f t="shared" si="17"/>
        <v>RR</v>
      </c>
      <c r="BB21" s="120" t="e">
        <f t="shared" si="32"/>
        <v>#VALUE!</v>
      </c>
      <c r="BC21" s="121">
        <f t="shared" si="18"/>
        <v>0</v>
      </c>
      <c r="BD21" s="121">
        <f t="shared" si="19"/>
        <v>0</v>
      </c>
      <c r="BE21" s="120">
        <f t="shared" si="33"/>
        <v>0</v>
      </c>
      <c r="BF21" s="120">
        <f t="shared" si="20"/>
        <v>0</v>
      </c>
      <c r="BG21" s="120">
        <f t="shared" si="21"/>
        <v>16</v>
      </c>
      <c r="BH21" s="120" t="e">
        <f t="shared" si="22"/>
        <v>#DIV/0!</v>
      </c>
      <c r="BI21" s="122">
        <f t="shared" si="23"/>
        <v>0</v>
      </c>
      <c r="BJ21" s="120"/>
      <c r="BK21" s="156" t="s">
        <v>2521</v>
      </c>
      <c r="BL21" s="157">
        <v>55</v>
      </c>
      <c r="BO21" s="196"/>
    </row>
    <row r="22" spans="1:67" s="53" customFormat="1" ht="20.100000000000001" customHeight="1">
      <c r="A22" s="28" t="str">
        <f>HLOOKUP($Z$4,'Data Sheet'!$B$2:$CM$27,13,FALSE)</f>
        <v>P2-32</v>
      </c>
      <c r="B22" s="170"/>
      <c r="C22" s="155"/>
      <c r="D22" s="112"/>
      <c r="E22" s="113"/>
      <c r="F22" s="113"/>
      <c r="G22" s="111"/>
      <c r="H22" s="114"/>
      <c r="I22" s="111"/>
      <c r="J22" s="245">
        <f t="shared" si="24"/>
        <v>0</v>
      </c>
      <c r="K22" s="245">
        <f t="shared" si="25"/>
        <v>0</v>
      </c>
      <c r="L22" s="246">
        <f t="shared" si="26"/>
        <v>0</v>
      </c>
      <c r="M22" s="247">
        <f t="shared" si="27"/>
        <v>0</v>
      </c>
      <c r="N22" s="248">
        <f t="shared" si="28"/>
        <v>0</v>
      </c>
      <c r="O22" s="249">
        <f t="shared" si="0"/>
        <v>0</v>
      </c>
      <c r="P22" s="250" t="str">
        <f t="shared" si="1"/>
        <v xml:space="preserve"> </v>
      </c>
      <c r="Q22" s="354">
        <f t="shared" si="29"/>
        <v>0</v>
      </c>
      <c r="R22" s="250" t="str">
        <f t="shared" si="2"/>
        <v xml:space="preserve"> </v>
      </c>
      <c r="S22" s="355" t="str">
        <f t="shared" si="30"/>
        <v xml:space="preserve"> </v>
      </c>
      <c r="T22" s="113">
        <v>0</v>
      </c>
      <c r="U22" s="244">
        <f t="shared" si="3"/>
        <v>0</v>
      </c>
      <c r="V22" s="221"/>
      <c r="W22" s="221"/>
      <c r="X22" s="222"/>
      <c r="Y22" s="57"/>
      <c r="Z22" s="57"/>
      <c r="AA22" s="362">
        <f t="shared" si="4"/>
        <v>0</v>
      </c>
      <c r="AB22" s="357">
        <f t="shared" si="5"/>
        <v>0</v>
      </c>
      <c r="AC22" s="358">
        <f t="shared" si="6"/>
        <v>0</v>
      </c>
      <c r="AD22" s="359" t="str">
        <f t="shared" si="7"/>
        <v xml:space="preserve"> </v>
      </c>
      <c r="AE22" s="368">
        <f t="shared" si="8"/>
        <v>0</v>
      </c>
      <c r="AF22" s="57" t="s">
        <v>35</v>
      </c>
      <c r="AG22" s="116">
        <f t="shared" si="9"/>
        <v>0</v>
      </c>
      <c r="AH22" s="113"/>
      <c r="AI22" s="113"/>
      <c r="AJ22" s="113"/>
      <c r="AK22" s="117"/>
      <c r="AL22" s="259">
        <f t="shared" si="10"/>
        <v>0</v>
      </c>
      <c r="AM22" s="118">
        <f t="shared" si="11"/>
        <v>0</v>
      </c>
      <c r="AN22" s="260">
        <f t="shared" si="12"/>
        <v>0</v>
      </c>
      <c r="AO22" s="118">
        <f t="shared" si="13"/>
        <v>0</v>
      </c>
      <c r="AP22" s="118" t="str">
        <f t="shared" si="14"/>
        <v xml:space="preserve"> </v>
      </c>
      <c r="AQ22" s="118">
        <f t="shared" si="15"/>
        <v>0</v>
      </c>
      <c r="AR22" s="119">
        <f t="shared" si="16"/>
        <v>0</v>
      </c>
      <c r="AS22" s="184"/>
      <c r="AZ22" s="120">
        <f t="shared" si="31"/>
        <v>0</v>
      </c>
      <c r="BA22" s="120" t="str">
        <f t="shared" si="17"/>
        <v>RR</v>
      </c>
      <c r="BB22" s="120" t="e">
        <f t="shared" si="32"/>
        <v>#VALUE!</v>
      </c>
      <c r="BC22" s="121">
        <f t="shared" si="18"/>
        <v>0</v>
      </c>
      <c r="BD22" s="121">
        <f t="shared" si="19"/>
        <v>0</v>
      </c>
      <c r="BE22" s="120">
        <f t="shared" si="33"/>
        <v>0</v>
      </c>
      <c r="BF22" s="120">
        <f t="shared" si="20"/>
        <v>0</v>
      </c>
      <c r="BG22" s="120">
        <f t="shared" si="21"/>
        <v>16</v>
      </c>
      <c r="BH22" s="120" t="e">
        <f t="shared" si="22"/>
        <v>#DIV/0!</v>
      </c>
      <c r="BI22" s="122">
        <f t="shared" si="23"/>
        <v>0</v>
      </c>
      <c r="BJ22" s="120"/>
      <c r="BK22" s="156" t="s">
        <v>2522</v>
      </c>
      <c r="BL22" s="157">
        <v>55</v>
      </c>
      <c r="BO22" s="196"/>
    </row>
    <row r="23" spans="1:67" s="53" customFormat="1" ht="20.100000000000001" customHeight="1">
      <c r="A23" s="28" t="str">
        <f>HLOOKUP($Z$4,'Data Sheet'!$B$2:$CM$27,14,FALSE)</f>
        <v>P2-33</v>
      </c>
      <c r="B23" s="170"/>
      <c r="C23" s="155"/>
      <c r="D23" s="112"/>
      <c r="E23" s="113"/>
      <c r="F23" s="113"/>
      <c r="G23" s="111"/>
      <c r="H23" s="114"/>
      <c r="I23" s="111"/>
      <c r="J23" s="245">
        <f t="shared" si="24"/>
        <v>0</v>
      </c>
      <c r="K23" s="245">
        <f t="shared" si="25"/>
        <v>0</v>
      </c>
      <c r="L23" s="246">
        <f t="shared" si="26"/>
        <v>0</v>
      </c>
      <c r="M23" s="247">
        <f t="shared" si="27"/>
        <v>0</v>
      </c>
      <c r="N23" s="248">
        <f t="shared" si="28"/>
        <v>0</v>
      </c>
      <c r="O23" s="249">
        <f t="shared" si="0"/>
        <v>0</v>
      </c>
      <c r="P23" s="250" t="str">
        <f t="shared" si="1"/>
        <v xml:space="preserve"> </v>
      </c>
      <c r="Q23" s="354">
        <f t="shared" si="29"/>
        <v>0</v>
      </c>
      <c r="R23" s="250" t="str">
        <f t="shared" si="2"/>
        <v xml:space="preserve"> </v>
      </c>
      <c r="S23" s="355" t="str">
        <f t="shared" si="30"/>
        <v xml:space="preserve"> </v>
      </c>
      <c r="T23" s="113">
        <v>0</v>
      </c>
      <c r="U23" s="244">
        <f t="shared" si="3"/>
        <v>0</v>
      </c>
      <c r="V23" s="221"/>
      <c r="W23" s="221"/>
      <c r="X23" s="222"/>
      <c r="Y23" s="57"/>
      <c r="Z23" s="57"/>
      <c r="AA23" s="362">
        <f t="shared" si="4"/>
        <v>0</v>
      </c>
      <c r="AB23" s="357">
        <f t="shared" si="5"/>
        <v>0</v>
      </c>
      <c r="AC23" s="358">
        <f t="shared" si="6"/>
        <v>0</v>
      </c>
      <c r="AD23" s="359" t="str">
        <f t="shared" si="7"/>
        <v xml:space="preserve"> </v>
      </c>
      <c r="AE23" s="368">
        <f t="shared" si="8"/>
        <v>0</v>
      </c>
      <c r="AF23" s="57" t="s">
        <v>36</v>
      </c>
      <c r="AG23" s="116">
        <f t="shared" si="9"/>
        <v>0</v>
      </c>
      <c r="AH23" s="113"/>
      <c r="AI23" s="113"/>
      <c r="AJ23" s="113"/>
      <c r="AK23" s="117"/>
      <c r="AL23" s="259">
        <f t="shared" si="10"/>
        <v>0</v>
      </c>
      <c r="AM23" s="118">
        <f t="shared" si="11"/>
        <v>0</v>
      </c>
      <c r="AN23" s="260">
        <f t="shared" si="12"/>
        <v>0</v>
      </c>
      <c r="AO23" s="118">
        <f t="shared" si="13"/>
        <v>0</v>
      </c>
      <c r="AP23" s="118" t="str">
        <f t="shared" si="14"/>
        <v xml:space="preserve"> </v>
      </c>
      <c r="AQ23" s="118">
        <f t="shared" si="15"/>
        <v>0</v>
      </c>
      <c r="AR23" s="119">
        <f t="shared" si="16"/>
        <v>0</v>
      </c>
      <c r="AS23" s="184"/>
      <c r="AZ23" s="120">
        <f t="shared" si="31"/>
        <v>0</v>
      </c>
      <c r="BA23" s="120" t="str">
        <f t="shared" si="17"/>
        <v>RR</v>
      </c>
      <c r="BB23" s="120" t="e">
        <f t="shared" si="32"/>
        <v>#VALUE!</v>
      </c>
      <c r="BC23" s="121">
        <f t="shared" si="18"/>
        <v>0</v>
      </c>
      <c r="BD23" s="121">
        <f t="shared" si="19"/>
        <v>0</v>
      </c>
      <c r="BE23" s="120">
        <f t="shared" si="33"/>
        <v>0</v>
      </c>
      <c r="BF23" s="120">
        <f t="shared" si="20"/>
        <v>0</v>
      </c>
      <c r="BG23" s="120">
        <f t="shared" si="21"/>
        <v>16</v>
      </c>
      <c r="BH23" s="120" t="e">
        <f t="shared" si="22"/>
        <v>#DIV/0!</v>
      </c>
      <c r="BI23" s="122">
        <f t="shared" si="23"/>
        <v>0</v>
      </c>
      <c r="BJ23" s="120"/>
      <c r="BK23" s="156" t="s">
        <v>156</v>
      </c>
      <c r="BL23" s="157">
        <v>58</v>
      </c>
      <c r="BO23" s="196"/>
    </row>
    <row r="24" spans="1:67" s="53" customFormat="1" ht="20.100000000000001" customHeight="1">
      <c r="A24" s="28" t="str">
        <f>HLOOKUP($Z$4,'Data Sheet'!$B$2:$CM$27,15,FALSE)</f>
        <v>P2-34</v>
      </c>
      <c r="B24" s="170"/>
      <c r="C24" s="155"/>
      <c r="D24" s="112"/>
      <c r="E24" s="113"/>
      <c r="F24" s="113"/>
      <c r="G24" s="111"/>
      <c r="H24" s="114"/>
      <c r="I24" s="111"/>
      <c r="J24" s="245">
        <f t="shared" si="24"/>
        <v>0</v>
      </c>
      <c r="K24" s="245">
        <f t="shared" si="25"/>
        <v>0</v>
      </c>
      <c r="L24" s="246">
        <f t="shared" si="26"/>
        <v>0</v>
      </c>
      <c r="M24" s="247">
        <f t="shared" si="27"/>
        <v>0</v>
      </c>
      <c r="N24" s="248">
        <f t="shared" si="28"/>
        <v>0</v>
      </c>
      <c r="O24" s="249">
        <f t="shared" si="0"/>
        <v>0</v>
      </c>
      <c r="P24" s="250" t="str">
        <f t="shared" si="1"/>
        <v xml:space="preserve"> </v>
      </c>
      <c r="Q24" s="354">
        <f t="shared" si="29"/>
        <v>0</v>
      </c>
      <c r="R24" s="250" t="str">
        <f t="shared" si="2"/>
        <v xml:space="preserve"> </v>
      </c>
      <c r="S24" s="355" t="str">
        <f t="shared" si="30"/>
        <v xml:space="preserve"> </v>
      </c>
      <c r="T24" s="113">
        <v>0</v>
      </c>
      <c r="U24" s="244">
        <f t="shared" si="3"/>
        <v>0</v>
      </c>
      <c r="V24" s="221"/>
      <c r="W24" s="221"/>
      <c r="X24" s="222"/>
      <c r="Y24" s="57"/>
      <c r="Z24" s="57"/>
      <c r="AA24" s="362">
        <f t="shared" si="4"/>
        <v>0</v>
      </c>
      <c r="AB24" s="357">
        <f t="shared" si="5"/>
        <v>0</v>
      </c>
      <c r="AC24" s="358">
        <f t="shared" si="6"/>
        <v>0</v>
      </c>
      <c r="AD24" s="359" t="str">
        <f t="shared" si="7"/>
        <v xml:space="preserve"> </v>
      </c>
      <c r="AE24" s="368">
        <f t="shared" si="8"/>
        <v>0</v>
      </c>
      <c r="AF24" s="57" t="s">
        <v>37</v>
      </c>
      <c r="AG24" s="116">
        <f t="shared" si="9"/>
        <v>0</v>
      </c>
      <c r="AH24" s="113"/>
      <c r="AI24" s="113"/>
      <c r="AJ24" s="113"/>
      <c r="AK24" s="117"/>
      <c r="AL24" s="259">
        <f t="shared" si="10"/>
        <v>0</v>
      </c>
      <c r="AM24" s="118">
        <f t="shared" si="11"/>
        <v>0</v>
      </c>
      <c r="AN24" s="260">
        <f t="shared" si="12"/>
        <v>0</v>
      </c>
      <c r="AO24" s="118">
        <f t="shared" si="13"/>
        <v>0</v>
      </c>
      <c r="AP24" s="118" t="str">
        <f t="shared" si="14"/>
        <v xml:space="preserve"> </v>
      </c>
      <c r="AQ24" s="118">
        <f t="shared" si="15"/>
        <v>0</v>
      </c>
      <c r="AR24" s="119">
        <f t="shared" si="16"/>
        <v>0</v>
      </c>
      <c r="AS24" s="184"/>
      <c r="AZ24" s="120">
        <f t="shared" si="31"/>
        <v>0</v>
      </c>
      <c r="BA24" s="120" t="str">
        <f t="shared" si="17"/>
        <v>RR</v>
      </c>
      <c r="BB24" s="120" t="e">
        <f t="shared" si="32"/>
        <v>#VALUE!</v>
      </c>
      <c r="BC24" s="121">
        <f t="shared" si="18"/>
        <v>0</v>
      </c>
      <c r="BD24" s="121">
        <f t="shared" si="19"/>
        <v>0</v>
      </c>
      <c r="BE24" s="120">
        <f t="shared" si="33"/>
        <v>0</v>
      </c>
      <c r="BF24" s="120">
        <f t="shared" si="20"/>
        <v>0</v>
      </c>
      <c r="BG24" s="120">
        <f t="shared" si="21"/>
        <v>16</v>
      </c>
      <c r="BH24" s="120" t="e">
        <f t="shared" si="22"/>
        <v>#DIV/0!</v>
      </c>
      <c r="BI24" s="122">
        <f t="shared" si="23"/>
        <v>0</v>
      </c>
      <c r="BJ24" s="120"/>
      <c r="BK24" s="156" t="s">
        <v>157</v>
      </c>
      <c r="BL24" s="157">
        <v>72</v>
      </c>
      <c r="BO24" s="196"/>
    </row>
    <row r="25" spans="1:67" s="53" customFormat="1" ht="20.100000000000001" customHeight="1">
      <c r="A25" s="28" t="str">
        <f>HLOOKUP($Z$4,'Data Sheet'!$B$2:$CM$27,16,FALSE)</f>
        <v>P2-35</v>
      </c>
      <c r="B25" s="170"/>
      <c r="C25" s="155"/>
      <c r="D25" s="112"/>
      <c r="E25" s="113"/>
      <c r="F25" s="113"/>
      <c r="G25" s="111"/>
      <c r="H25" s="114"/>
      <c r="I25" s="111"/>
      <c r="J25" s="245">
        <f t="shared" si="24"/>
        <v>0</v>
      </c>
      <c r="K25" s="245">
        <f t="shared" si="25"/>
        <v>0</v>
      </c>
      <c r="L25" s="246">
        <f t="shared" si="26"/>
        <v>0</v>
      </c>
      <c r="M25" s="247">
        <f t="shared" si="27"/>
        <v>0</v>
      </c>
      <c r="N25" s="248">
        <f t="shared" si="28"/>
        <v>0</v>
      </c>
      <c r="O25" s="249">
        <f t="shared" si="0"/>
        <v>0</v>
      </c>
      <c r="P25" s="250" t="str">
        <f t="shared" si="1"/>
        <v xml:space="preserve"> </v>
      </c>
      <c r="Q25" s="354">
        <f t="shared" si="29"/>
        <v>0</v>
      </c>
      <c r="R25" s="250" t="str">
        <f t="shared" si="2"/>
        <v xml:space="preserve"> </v>
      </c>
      <c r="S25" s="355" t="str">
        <f t="shared" si="30"/>
        <v xml:space="preserve"> </v>
      </c>
      <c r="T25" s="113">
        <v>0</v>
      </c>
      <c r="U25" s="244">
        <f t="shared" si="3"/>
        <v>0</v>
      </c>
      <c r="V25" s="221"/>
      <c r="W25" s="221"/>
      <c r="X25" s="222"/>
      <c r="Y25" s="57"/>
      <c r="Z25" s="57"/>
      <c r="AA25" s="362">
        <f t="shared" si="4"/>
        <v>0</v>
      </c>
      <c r="AB25" s="357">
        <f t="shared" si="5"/>
        <v>0</v>
      </c>
      <c r="AC25" s="358">
        <f t="shared" si="6"/>
        <v>0</v>
      </c>
      <c r="AD25" s="359" t="str">
        <f t="shared" si="7"/>
        <v xml:space="preserve"> </v>
      </c>
      <c r="AE25" s="368">
        <f t="shared" si="8"/>
        <v>0</v>
      </c>
      <c r="AF25" s="57" t="s">
        <v>43</v>
      </c>
      <c r="AG25" s="116">
        <f t="shared" si="9"/>
        <v>0</v>
      </c>
      <c r="AH25" s="113"/>
      <c r="AI25" s="113"/>
      <c r="AJ25" s="113"/>
      <c r="AK25" s="117"/>
      <c r="AL25" s="259">
        <f t="shared" si="10"/>
        <v>0</v>
      </c>
      <c r="AM25" s="118">
        <f t="shared" si="11"/>
        <v>0</v>
      </c>
      <c r="AN25" s="260">
        <f t="shared" si="12"/>
        <v>0</v>
      </c>
      <c r="AO25" s="118">
        <f t="shared" si="13"/>
        <v>0</v>
      </c>
      <c r="AP25" s="118" t="str">
        <f t="shared" si="14"/>
        <v xml:space="preserve"> </v>
      </c>
      <c r="AQ25" s="118">
        <f t="shared" si="15"/>
        <v>0</v>
      </c>
      <c r="AR25" s="119">
        <f t="shared" si="16"/>
        <v>0</v>
      </c>
      <c r="AS25" s="184"/>
      <c r="AZ25" s="120">
        <f t="shared" si="31"/>
        <v>0</v>
      </c>
      <c r="BA25" s="120" t="str">
        <f t="shared" si="17"/>
        <v>RR</v>
      </c>
      <c r="BB25" s="120" t="e">
        <f t="shared" si="32"/>
        <v>#VALUE!</v>
      </c>
      <c r="BC25" s="121">
        <f t="shared" si="18"/>
        <v>0</v>
      </c>
      <c r="BD25" s="121">
        <f t="shared" si="19"/>
        <v>0</v>
      </c>
      <c r="BE25" s="120">
        <f t="shared" si="33"/>
        <v>0</v>
      </c>
      <c r="BF25" s="120">
        <f t="shared" si="20"/>
        <v>0</v>
      </c>
      <c r="BG25" s="120">
        <f t="shared" si="21"/>
        <v>16</v>
      </c>
      <c r="BH25" s="120" t="e">
        <f t="shared" si="22"/>
        <v>#DIV/0!</v>
      </c>
      <c r="BI25" s="122">
        <f t="shared" si="23"/>
        <v>0</v>
      </c>
      <c r="BJ25" s="120"/>
      <c r="BK25" s="156" t="s">
        <v>2520</v>
      </c>
      <c r="BL25" s="157">
        <v>54</v>
      </c>
      <c r="BO25" s="196"/>
    </row>
    <row r="26" spans="1:67" s="53" customFormat="1" ht="20.100000000000001" customHeight="1">
      <c r="A26" s="28" t="str">
        <f>HLOOKUP($Z$4,'Data Sheet'!$B$2:$CM$27,17,FALSE)</f>
        <v>P2-36</v>
      </c>
      <c r="B26" s="170"/>
      <c r="C26" s="155"/>
      <c r="D26" s="112"/>
      <c r="E26" s="113"/>
      <c r="F26" s="113"/>
      <c r="G26" s="111"/>
      <c r="H26" s="114"/>
      <c r="I26" s="111"/>
      <c r="J26" s="245">
        <f t="shared" si="24"/>
        <v>0</v>
      </c>
      <c r="K26" s="245">
        <f t="shared" si="25"/>
        <v>0</v>
      </c>
      <c r="L26" s="246">
        <f t="shared" si="26"/>
        <v>0</v>
      </c>
      <c r="M26" s="247">
        <f t="shared" si="27"/>
        <v>0</v>
      </c>
      <c r="N26" s="248">
        <f t="shared" si="28"/>
        <v>0</v>
      </c>
      <c r="O26" s="249">
        <f t="shared" si="0"/>
        <v>0</v>
      </c>
      <c r="P26" s="250" t="str">
        <f t="shared" si="1"/>
        <v xml:space="preserve"> </v>
      </c>
      <c r="Q26" s="354">
        <f t="shared" si="29"/>
        <v>0</v>
      </c>
      <c r="R26" s="250" t="str">
        <f t="shared" si="2"/>
        <v xml:space="preserve"> </v>
      </c>
      <c r="S26" s="355" t="str">
        <f t="shared" si="30"/>
        <v xml:space="preserve"> </v>
      </c>
      <c r="T26" s="113">
        <v>0</v>
      </c>
      <c r="U26" s="244">
        <f t="shared" si="3"/>
        <v>0</v>
      </c>
      <c r="V26" s="221"/>
      <c r="W26" s="221"/>
      <c r="X26" s="222"/>
      <c r="Y26" s="57"/>
      <c r="Z26" s="57"/>
      <c r="AA26" s="362">
        <f t="shared" si="4"/>
        <v>0</v>
      </c>
      <c r="AB26" s="357">
        <f t="shared" si="5"/>
        <v>0</v>
      </c>
      <c r="AC26" s="358">
        <f t="shared" si="6"/>
        <v>0</v>
      </c>
      <c r="AD26" s="359" t="str">
        <f t="shared" si="7"/>
        <v xml:space="preserve"> </v>
      </c>
      <c r="AE26" s="368">
        <f t="shared" si="8"/>
        <v>0</v>
      </c>
      <c r="AF26" s="57" t="s">
        <v>44</v>
      </c>
      <c r="AG26" s="116">
        <f t="shared" si="9"/>
        <v>0</v>
      </c>
      <c r="AH26" s="113"/>
      <c r="AI26" s="113"/>
      <c r="AJ26" s="113"/>
      <c r="AK26" s="117"/>
      <c r="AL26" s="259">
        <f t="shared" si="10"/>
        <v>0</v>
      </c>
      <c r="AM26" s="118">
        <f t="shared" si="11"/>
        <v>0</v>
      </c>
      <c r="AN26" s="260">
        <f t="shared" si="12"/>
        <v>0</v>
      </c>
      <c r="AO26" s="118">
        <f t="shared" si="13"/>
        <v>0</v>
      </c>
      <c r="AP26" s="118" t="str">
        <f t="shared" si="14"/>
        <v xml:space="preserve"> </v>
      </c>
      <c r="AQ26" s="118">
        <f t="shared" si="15"/>
        <v>0</v>
      </c>
      <c r="AR26" s="119">
        <f t="shared" si="16"/>
        <v>0</v>
      </c>
      <c r="AS26" s="184"/>
      <c r="AZ26" s="120">
        <f t="shared" si="31"/>
        <v>0</v>
      </c>
      <c r="BA26" s="120" t="str">
        <f t="shared" si="17"/>
        <v>RR</v>
      </c>
      <c r="BB26" s="120" t="e">
        <f t="shared" si="32"/>
        <v>#VALUE!</v>
      </c>
      <c r="BC26" s="121">
        <f t="shared" si="18"/>
        <v>0</v>
      </c>
      <c r="BD26" s="121">
        <f t="shared" si="19"/>
        <v>0</v>
      </c>
      <c r="BE26" s="120">
        <f t="shared" si="33"/>
        <v>0</v>
      </c>
      <c r="BF26" s="120">
        <f t="shared" si="20"/>
        <v>0</v>
      </c>
      <c r="BG26" s="120">
        <f t="shared" si="21"/>
        <v>16</v>
      </c>
      <c r="BH26" s="120" t="e">
        <f t="shared" si="22"/>
        <v>#DIV/0!</v>
      </c>
      <c r="BI26" s="122">
        <f t="shared" si="23"/>
        <v>0</v>
      </c>
      <c r="BJ26" s="120"/>
      <c r="BK26" s="156" t="s">
        <v>2523</v>
      </c>
      <c r="BL26" s="157">
        <v>118</v>
      </c>
      <c r="BO26" s="196"/>
    </row>
    <row r="27" spans="1:67" s="53" customFormat="1" ht="20.100000000000001" customHeight="1">
      <c r="A27" s="28" t="str">
        <f>HLOOKUP($Z$4,'Data Sheet'!$B$2:$CM$27,18,FALSE)</f>
        <v>P2-37</v>
      </c>
      <c r="B27" s="170"/>
      <c r="C27" s="155"/>
      <c r="D27" s="112"/>
      <c r="E27" s="113"/>
      <c r="F27" s="113"/>
      <c r="G27" s="111"/>
      <c r="H27" s="114"/>
      <c r="I27" s="111"/>
      <c r="J27" s="245">
        <f t="shared" si="24"/>
        <v>0</v>
      </c>
      <c r="K27" s="245">
        <f t="shared" si="25"/>
        <v>0</v>
      </c>
      <c r="L27" s="246">
        <f t="shared" si="26"/>
        <v>0</v>
      </c>
      <c r="M27" s="247">
        <f t="shared" si="27"/>
        <v>0</v>
      </c>
      <c r="N27" s="248">
        <f t="shared" si="28"/>
        <v>0</v>
      </c>
      <c r="O27" s="249">
        <f t="shared" si="0"/>
        <v>0</v>
      </c>
      <c r="P27" s="250" t="str">
        <f t="shared" si="1"/>
        <v xml:space="preserve"> </v>
      </c>
      <c r="Q27" s="354">
        <f t="shared" si="29"/>
        <v>0</v>
      </c>
      <c r="R27" s="250" t="str">
        <f t="shared" si="2"/>
        <v xml:space="preserve"> </v>
      </c>
      <c r="S27" s="355" t="str">
        <f t="shared" si="30"/>
        <v xml:space="preserve"> </v>
      </c>
      <c r="T27" s="113">
        <v>0</v>
      </c>
      <c r="U27" s="244">
        <f t="shared" si="3"/>
        <v>0</v>
      </c>
      <c r="V27" s="221"/>
      <c r="W27" s="221"/>
      <c r="X27" s="222"/>
      <c r="Y27" s="57"/>
      <c r="Z27" s="57"/>
      <c r="AA27" s="362">
        <f t="shared" si="4"/>
        <v>0</v>
      </c>
      <c r="AB27" s="357">
        <f t="shared" si="5"/>
        <v>0</v>
      </c>
      <c r="AC27" s="358">
        <f t="shared" si="6"/>
        <v>0</v>
      </c>
      <c r="AD27" s="359" t="str">
        <f t="shared" si="7"/>
        <v xml:space="preserve"> </v>
      </c>
      <c r="AE27" s="368">
        <f t="shared" si="8"/>
        <v>0</v>
      </c>
      <c r="AF27" s="57" t="s">
        <v>45</v>
      </c>
      <c r="AG27" s="116">
        <f t="shared" si="9"/>
        <v>0</v>
      </c>
      <c r="AH27" s="113"/>
      <c r="AI27" s="113"/>
      <c r="AJ27" s="113"/>
      <c r="AK27" s="117"/>
      <c r="AL27" s="259">
        <f t="shared" si="10"/>
        <v>0</v>
      </c>
      <c r="AM27" s="118">
        <f t="shared" si="11"/>
        <v>0</v>
      </c>
      <c r="AN27" s="260">
        <f t="shared" si="12"/>
        <v>0</v>
      </c>
      <c r="AO27" s="118">
        <f t="shared" si="13"/>
        <v>0</v>
      </c>
      <c r="AP27" s="118" t="str">
        <f t="shared" si="14"/>
        <v xml:space="preserve"> </v>
      </c>
      <c r="AQ27" s="118">
        <f t="shared" si="15"/>
        <v>0</v>
      </c>
      <c r="AR27" s="119">
        <f t="shared" si="16"/>
        <v>0</v>
      </c>
      <c r="AS27" s="184"/>
      <c r="AZ27" s="120">
        <f t="shared" si="31"/>
        <v>0</v>
      </c>
      <c r="BA27" s="120" t="str">
        <f t="shared" si="17"/>
        <v>RR</v>
      </c>
      <c r="BB27" s="120" t="e">
        <f t="shared" si="32"/>
        <v>#VALUE!</v>
      </c>
      <c r="BC27" s="121">
        <f t="shared" si="18"/>
        <v>0</v>
      </c>
      <c r="BD27" s="121">
        <f t="shared" si="19"/>
        <v>0</v>
      </c>
      <c r="BE27" s="120">
        <f t="shared" si="33"/>
        <v>0</v>
      </c>
      <c r="BF27" s="120">
        <f t="shared" si="20"/>
        <v>0</v>
      </c>
      <c r="BG27" s="120">
        <f t="shared" si="21"/>
        <v>16</v>
      </c>
      <c r="BH27" s="120" t="e">
        <f t="shared" si="22"/>
        <v>#DIV/0!</v>
      </c>
      <c r="BI27" s="122">
        <f t="shared" si="23"/>
        <v>0</v>
      </c>
      <c r="BJ27" s="120"/>
      <c r="BK27" s="156" t="s">
        <v>2568</v>
      </c>
      <c r="BL27" s="157">
        <v>72</v>
      </c>
      <c r="BO27" s="196"/>
    </row>
    <row r="28" spans="1:67" s="53" customFormat="1" ht="20.100000000000001" customHeight="1">
      <c r="A28" s="28" t="str">
        <f>HLOOKUP($Z$4,'Data Sheet'!$B$2:$CM$27,19,FALSE)</f>
        <v>P2-38</v>
      </c>
      <c r="B28" s="170"/>
      <c r="C28" s="155"/>
      <c r="D28" s="112"/>
      <c r="E28" s="113"/>
      <c r="F28" s="113"/>
      <c r="G28" s="111"/>
      <c r="H28" s="114"/>
      <c r="I28" s="111"/>
      <c r="J28" s="245">
        <f t="shared" si="24"/>
        <v>0</v>
      </c>
      <c r="K28" s="245">
        <f t="shared" si="25"/>
        <v>0</v>
      </c>
      <c r="L28" s="246">
        <f t="shared" si="26"/>
        <v>0</v>
      </c>
      <c r="M28" s="247">
        <f t="shared" si="27"/>
        <v>0</v>
      </c>
      <c r="N28" s="248">
        <f t="shared" si="28"/>
        <v>0</v>
      </c>
      <c r="O28" s="249">
        <f t="shared" si="0"/>
        <v>0</v>
      </c>
      <c r="P28" s="250" t="str">
        <f t="shared" si="1"/>
        <v xml:space="preserve"> </v>
      </c>
      <c r="Q28" s="354">
        <f t="shared" si="29"/>
        <v>0</v>
      </c>
      <c r="R28" s="250" t="str">
        <f t="shared" si="2"/>
        <v xml:space="preserve"> </v>
      </c>
      <c r="S28" s="355" t="str">
        <f t="shared" si="30"/>
        <v xml:space="preserve"> </v>
      </c>
      <c r="T28" s="113">
        <v>0</v>
      </c>
      <c r="U28" s="244">
        <f t="shared" si="3"/>
        <v>0</v>
      </c>
      <c r="V28" s="221"/>
      <c r="W28" s="221"/>
      <c r="X28" s="222"/>
      <c r="Y28" s="57"/>
      <c r="Z28" s="57"/>
      <c r="AA28" s="362">
        <f t="shared" si="4"/>
        <v>0</v>
      </c>
      <c r="AB28" s="357">
        <f t="shared" si="5"/>
        <v>0</v>
      </c>
      <c r="AC28" s="358">
        <f t="shared" si="6"/>
        <v>0</v>
      </c>
      <c r="AD28" s="359" t="str">
        <f t="shared" si="7"/>
        <v xml:space="preserve"> </v>
      </c>
      <c r="AE28" s="368">
        <f t="shared" si="8"/>
        <v>0</v>
      </c>
      <c r="AF28" s="57" t="s">
        <v>46</v>
      </c>
      <c r="AG28" s="116">
        <f t="shared" si="9"/>
        <v>0</v>
      </c>
      <c r="AH28" s="113"/>
      <c r="AI28" s="113"/>
      <c r="AJ28" s="113"/>
      <c r="AK28" s="117"/>
      <c r="AL28" s="259">
        <f t="shared" si="10"/>
        <v>0</v>
      </c>
      <c r="AM28" s="118">
        <f t="shared" si="11"/>
        <v>0</v>
      </c>
      <c r="AN28" s="260">
        <f t="shared" si="12"/>
        <v>0</v>
      </c>
      <c r="AO28" s="118">
        <f t="shared" si="13"/>
        <v>0</v>
      </c>
      <c r="AP28" s="118" t="str">
        <f t="shared" si="14"/>
        <v xml:space="preserve"> </v>
      </c>
      <c r="AQ28" s="118">
        <f t="shared" si="15"/>
        <v>0</v>
      </c>
      <c r="AR28" s="119">
        <f t="shared" si="16"/>
        <v>0</v>
      </c>
      <c r="AS28" s="184"/>
      <c r="AZ28" s="120">
        <f t="shared" si="31"/>
        <v>0</v>
      </c>
      <c r="BA28" s="120" t="str">
        <f t="shared" si="17"/>
        <v>RR</v>
      </c>
      <c r="BB28" s="120" t="e">
        <f t="shared" si="32"/>
        <v>#VALUE!</v>
      </c>
      <c r="BC28" s="121">
        <f t="shared" si="18"/>
        <v>0</v>
      </c>
      <c r="BD28" s="121">
        <f t="shared" si="19"/>
        <v>0</v>
      </c>
      <c r="BE28" s="120">
        <f t="shared" si="33"/>
        <v>0</v>
      </c>
      <c r="BF28" s="120">
        <f t="shared" si="20"/>
        <v>0</v>
      </c>
      <c r="BG28" s="120">
        <f t="shared" si="21"/>
        <v>16</v>
      </c>
      <c r="BH28" s="120" t="e">
        <f t="shared" si="22"/>
        <v>#DIV/0!</v>
      </c>
      <c r="BI28" s="122">
        <f t="shared" si="23"/>
        <v>0</v>
      </c>
      <c r="BJ28" s="120"/>
      <c r="BK28" s="156" t="s">
        <v>2519</v>
      </c>
      <c r="BL28" s="157">
        <v>54</v>
      </c>
      <c r="BO28" s="196"/>
    </row>
    <row r="29" spans="1:67" s="53" customFormat="1" ht="20.100000000000001" customHeight="1">
      <c r="A29" s="28" t="str">
        <f>HLOOKUP($Z$4,'Data Sheet'!$B$2:$CM$27,20,FALSE)</f>
        <v>P2-39</v>
      </c>
      <c r="B29" s="170"/>
      <c r="C29" s="155"/>
      <c r="D29" s="112"/>
      <c r="E29" s="113"/>
      <c r="F29" s="113"/>
      <c r="G29" s="111"/>
      <c r="H29" s="114"/>
      <c r="I29" s="111"/>
      <c r="J29" s="245">
        <f t="shared" si="24"/>
        <v>0</v>
      </c>
      <c r="K29" s="245">
        <f t="shared" si="25"/>
        <v>0</v>
      </c>
      <c r="L29" s="246">
        <f t="shared" si="26"/>
        <v>0</v>
      </c>
      <c r="M29" s="247">
        <f t="shared" si="27"/>
        <v>0</v>
      </c>
      <c r="N29" s="248">
        <f t="shared" si="28"/>
        <v>0</v>
      </c>
      <c r="O29" s="249">
        <f t="shared" si="0"/>
        <v>0</v>
      </c>
      <c r="P29" s="250" t="str">
        <f t="shared" si="1"/>
        <v xml:space="preserve"> </v>
      </c>
      <c r="Q29" s="354">
        <f t="shared" si="29"/>
        <v>0</v>
      </c>
      <c r="R29" s="250" t="str">
        <f t="shared" si="2"/>
        <v xml:space="preserve"> </v>
      </c>
      <c r="S29" s="355" t="str">
        <f t="shared" si="30"/>
        <v xml:space="preserve"> </v>
      </c>
      <c r="T29" s="113">
        <v>0</v>
      </c>
      <c r="U29" s="244">
        <f t="shared" si="3"/>
        <v>0</v>
      </c>
      <c r="V29" s="221"/>
      <c r="W29" s="221"/>
      <c r="X29" s="222"/>
      <c r="Y29" s="57"/>
      <c r="Z29" s="57"/>
      <c r="AA29" s="362">
        <f t="shared" si="4"/>
        <v>0</v>
      </c>
      <c r="AB29" s="357">
        <f t="shared" si="5"/>
        <v>0</v>
      </c>
      <c r="AC29" s="358">
        <f t="shared" si="6"/>
        <v>0</v>
      </c>
      <c r="AD29" s="359" t="str">
        <f t="shared" si="7"/>
        <v xml:space="preserve"> </v>
      </c>
      <c r="AE29" s="368">
        <f t="shared" si="8"/>
        <v>0</v>
      </c>
      <c r="AF29" s="57" t="s">
        <v>47</v>
      </c>
      <c r="AG29" s="116">
        <f t="shared" si="9"/>
        <v>0</v>
      </c>
      <c r="AH29" s="113"/>
      <c r="AI29" s="113"/>
      <c r="AJ29" s="113"/>
      <c r="AK29" s="117"/>
      <c r="AL29" s="259">
        <f t="shared" si="10"/>
        <v>0</v>
      </c>
      <c r="AM29" s="118">
        <f t="shared" si="11"/>
        <v>0</v>
      </c>
      <c r="AN29" s="260">
        <f t="shared" si="12"/>
        <v>0</v>
      </c>
      <c r="AO29" s="118">
        <f t="shared" si="13"/>
        <v>0</v>
      </c>
      <c r="AP29" s="118" t="str">
        <f t="shared" si="14"/>
        <v xml:space="preserve"> </v>
      </c>
      <c r="AQ29" s="118">
        <f t="shared" si="15"/>
        <v>0</v>
      </c>
      <c r="AR29" s="119">
        <f t="shared" si="16"/>
        <v>0</v>
      </c>
      <c r="AS29" s="184"/>
      <c r="AZ29" s="120">
        <f t="shared" si="31"/>
        <v>0</v>
      </c>
      <c r="BA29" s="120" t="str">
        <f t="shared" si="17"/>
        <v>RR</v>
      </c>
      <c r="BB29" s="120" t="e">
        <f t="shared" si="32"/>
        <v>#VALUE!</v>
      </c>
      <c r="BC29" s="121">
        <f t="shared" si="18"/>
        <v>0</v>
      </c>
      <c r="BD29" s="121">
        <f t="shared" si="19"/>
        <v>0</v>
      </c>
      <c r="BE29" s="120">
        <f t="shared" si="33"/>
        <v>0</v>
      </c>
      <c r="BF29" s="120">
        <f t="shared" si="20"/>
        <v>0</v>
      </c>
      <c r="BG29" s="120">
        <f t="shared" si="21"/>
        <v>16</v>
      </c>
      <c r="BH29" s="120" t="e">
        <f t="shared" si="22"/>
        <v>#DIV/0!</v>
      </c>
      <c r="BI29" s="122">
        <f t="shared" si="23"/>
        <v>0</v>
      </c>
      <c r="BJ29" s="120"/>
      <c r="BK29" s="156"/>
      <c r="BL29" s="157"/>
      <c r="BO29" s="196"/>
    </row>
    <row r="30" spans="1:67" s="53" customFormat="1" ht="20.100000000000001" customHeight="1" thickBot="1">
      <c r="A30" s="28" t="str">
        <f>HLOOKUP($Z$4,'Data Sheet'!$B$2:$CM$27,21,FALSE)</f>
        <v>P2-40</v>
      </c>
      <c r="B30" s="170"/>
      <c r="C30" s="155"/>
      <c r="D30" s="112"/>
      <c r="E30" s="113"/>
      <c r="F30" s="113"/>
      <c r="G30" s="111"/>
      <c r="H30" s="114"/>
      <c r="I30" s="111"/>
      <c r="J30" s="245">
        <f t="shared" si="24"/>
        <v>0</v>
      </c>
      <c r="K30" s="245">
        <f t="shared" si="25"/>
        <v>0</v>
      </c>
      <c r="L30" s="246">
        <f t="shared" si="26"/>
        <v>0</v>
      </c>
      <c r="M30" s="247">
        <f t="shared" si="27"/>
        <v>0</v>
      </c>
      <c r="N30" s="248">
        <f t="shared" si="28"/>
        <v>0</v>
      </c>
      <c r="O30" s="249">
        <f t="shared" si="0"/>
        <v>0</v>
      </c>
      <c r="P30" s="250" t="str">
        <f t="shared" si="1"/>
        <v xml:space="preserve"> </v>
      </c>
      <c r="Q30" s="354">
        <f t="shared" si="29"/>
        <v>0</v>
      </c>
      <c r="R30" s="250" t="str">
        <f t="shared" si="2"/>
        <v xml:space="preserve"> </v>
      </c>
      <c r="S30" s="355" t="str">
        <f t="shared" si="30"/>
        <v xml:space="preserve"> </v>
      </c>
      <c r="T30" s="113">
        <v>0</v>
      </c>
      <c r="U30" s="244">
        <f t="shared" si="3"/>
        <v>0</v>
      </c>
      <c r="V30" s="221"/>
      <c r="W30" s="221"/>
      <c r="X30" s="222"/>
      <c r="Y30" s="110"/>
      <c r="Z30" s="65"/>
      <c r="AA30" s="362">
        <f t="shared" si="4"/>
        <v>0</v>
      </c>
      <c r="AB30" s="357">
        <f t="shared" si="5"/>
        <v>0</v>
      </c>
      <c r="AC30" s="358">
        <f t="shared" si="6"/>
        <v>0</v>
      </c>
      <c r="AD30" s="359" t="str">
        <f t="shared" si="7"/>
        <v xml:space="preserve"> </v>
      </c>
      <c r="AE30" s="368">
        <f t="shared" si="8"/>
        <v>0</v>
      </c>
      <c r="AF30" s="117" t="s">
        <v>48</v>
      </c>
      <c r="AG30" s="116">
        <f t="shared" si="9"/>
        <v>0</v>
      </c>
      <c r="AH30" s="113"/>
      <c r="AI30" s="113"/>
      <c r="AJ30" s="113"/>
      <c r="AK30" s="117"/>
      <c r="AL30" s="259">
        <f t="shared" si="10"/>
        <v>0</v>
      </c>
      <c r="AM30" s="118">
        <f t="shared" si="11"/>
        <v>0</v>
      </c>
      <c r="AN30" s="260">
        <f t="shared" si="12"/>
        <v>0</v>
      </c>
      <c r="AO30" s="118">
        <f t="shared" si="13"/>
        <v>0</v>
      </c>
      <c r="AP30" s="118" t="str">
        <f t="shared" si="14"/>
        <v xml:space="preserve"> </v>
      </c>
      <c r="AQ30" s="118">
        <f t="shared" si="15"/>
        <v>0</v>
      </c>
      <c r="AR30" s="119">
        <f t="shared" si="16"/>
        <v>0</v>
      </c>
      <c r="AS30" s="184"/>
      <c r="AZ30" s="120">
        <f t="shared" si="31"/>
        <v>0</v>
      </c>
      <c r="BA30" s="120" t="str">
        <f t="shared" si="17"/>
        <v>RR</v>
      </c>
      <c r="BB30" s="120" t="e">
        <f t="shared" si="32"/>
        <v>#VALUE!</v>
      </c>
      <c r="BC30" s="121">
        <f t="shared" si="18"/>
        <v>0</v>
      </c>
      <c r="BD30" s="121">
        <f t="shared" si="19"/>
        <v>0</v>
      </c>
      <c r="BE30" s="120">
        <f t="shared" si="33"/>
        <v>0</v>
      </c>
      <c r="BF30" s="120">
        <f t="shared" si="20"/>
        <v>0</v>
      </c>
      <c r="BG30" s="120">
        <f t="shared" si="21"/>
        <v>16</v>
      </c>
      <c r="BH30" s="120" t="e">
        <f t="shared" si="22"/>
        <v>#DIV/0!</v>
      </c>
      <c r="BI30" s="122">
        <f t="shared" si="23"/>
        <v>0</v>
      </c>
      <c r="BJ30" s="120"/>
      <c r="BK30" s="156" t="s">
        <v>159</v>
      </c>
      <c r="BL30" s="157">
        <v>60</v>
      </c>
      <c r="BO30" s="196"/>
    </row>
    <row r="31" spans="1:67" s="53" customFormat="1" ht="20.100000000000001" customHeight="1" thickBot="1">
      <c r="A31" s="198"/>
      <c r="B31" s="173" t="s">
        <v>139</v>
      </c>
      <c r="C31" s="174"/>
      <c r="D31" s="175"/>
      <c r="E31" s="174"/>
      <c r="F31" s="174"/>
      <c r="G31" s="176"/>
      <c r="H31" s="177"/>
      <c r="I31" s="223" t="s">
        <v>2487</v>
      </c>
      <c r="J31" s="224"/>
      <c r="K31" s="225"/>
      <c r="L31" s="225"/>
      <c r="M31" s="225"/>
      <c r="N31" s="225"/>
      <c r="O31" s="226"/>
      <c r="P31" s="225"/>
      <c r="Q31" s="227"/>
      <c r="R31" s="57"/>
      <c r="S31" s="57"/>
      <c r="T31" s="57"/>
      <c r="U31" s="57"/>
      <c r="V31" s="57"/>
      <c r="W31" s="57"/>
      <c r="X31" s="57"/>
      <c r="Y31" s="57"/>
      <c r="AA31" s="196"/>
      <c r="AB31" s="196"/>
      <c r="AC31" s="360">
        <f>SUM(AC11:AC30)</f>
        <v>84</v>
      </c>
      <c r="AD31" s="361"/>
      <c r="AE31" s="356">
        <f>SUM(AE11:AE30)</f>
        <v>53.5</v>
      </c>
      <c r="AF31" s="123" t="s">
        <v>17</v>
      </c>
      <c r="AG31" s="124"/>
      <c r="AL31" s="125">
        <f t="shared" ref="AL31:AQ31" si="34">SUM(AL11:AL30)</f>
        <v>2300</v>
      </c>
      <c r="AM31" s="126">
        <f t="shared" si="34"/>
        <v>540</v>
      </c>
      <c r="AN31" s="127">
        <f t="shared" si="34"/>
        <v>0</v>
      </c>
      <c r="AO31" s="162">
        <f t="shared" si="34"/>
        <v>2760</v>
      </c>
      <c r="AP31" s="162">
        <f t="shared" si="34"/>
        <v>642</v>
      </c>
      <c r="AQ31" s="162">
        <f t="shared" si="34"/>
        <v>0</v>
      </c>
      <c r="AR31" s="158">
        <f>SUM(AL31:AQ31)</f>
        <v>6242</v>
      </c>
      <c r="AS31" s="184"/>
      <c r="BC31" s="53">
        <f t="shared" si="18"/>
        <v>0</v>
      </c>
      <c r="BK31" s="156" t="s">
        <v>158</v>
      </c>
      <c r="BL31" s="157">
        <v>60</v>
      </c>
      <c r="BO31" s="196"/>
    </row>
    <row r="32" spans="1:67" s="53" customFormat="1" ht="18" customHeight="1">
      <c r="A32" s="198"/>
      <c r="B32" s="178" t="s">
        <v>2553</v>
      </c>
      <c r="C32" s="179"/>
      <c r="D32" s="179"/>
      <c r="E32" s="179"/>
      <c r="F32" s="179"/>
      <c r="G32" s="176"/>
      <c r="H32" s="177"/>
      <c r="I32" s="176"/>
      <c r="J32" s="176"/>
      <c r="K32" s="81"/>
      <c r="L32" s="81"/>
      <c r="M32" s="81"/>
      <c r="N32" s="81"/>
      <c r="O32" s="305"/>
      <c r="P32" s="306"/>
      <c r="Q32" s="306"/>
      <c r="R32" s="57"/>
      <c r="S32" s="57"/>
      <c r="T32" s="57"/>
      <c r="U32" s="66"/>
      <c r="V32" s="341"/>
      <c r="W32" s="66"/>
      <c r="X32" s="66"/>
      <c r="Y32" s="303"/>
      <c r="Z32" s="149"/>
      <c r="AA32" s="43"/>
      <c r="AB32" s="442"/>
      <c r="AE32" s="57"/>
      <c r="AF32" s="43"/>
      <c r="AG32" s="46"/>
      <c r="AH32" s="66"/>
      <c r="AI32" s="66"/>
      <c r="AJ32" s="43"/>
      <c r="AK32" s="43"/>
      <c r="AL32" s="43"/>
      <c r="AM32" s="43"/>
      <c r="AN32" s="130"/>
      <c r="AO32" s="385"/>
      <c r="AP32" s="64"/>
      <c r="AQ32" s="43"/>
      <c r="AR32" s="386"/>
      <c r="AS32" s="185"/>
      <c r="BK32" s="156" t="s">
        <v>2549</v>
      </c>
      <c r="BL32" s="157">
        <v>54</v>
      </c>
      <c r="BO32" s="196"/>
    </row>
    <row r="33" spans="1:67" s="53" customFormat="1" ht="15.95" customHeight="1" thickBot="1">
      <c r="A33" s="198"/>
      <c r="B33" s="379"/>
      <c r="C33" s="43"/>
      <c r="D33" s="149"/>
      <c r="E33" s="43"/>
      <c r="F33" s="66"/>
      <c r="G33" s="57"/>
      <c r="H33" s="80"/>
      <c r="O33" s="129"/>
      <c r="P33" s="43"/>
      <c r="Q33" s="43"/>
      <c r="R33" s="57"/>
      <c r="S33" s="66"/>
      <c r="T33" s="66"/>
      <c r="U33" s="66"/>
      <c r="V33" s="66"/>
      <c r="W33" s="66"/>
      <c r="X33" s="66"/>
      <c r="Y33" s="303"/>
      <c r="Z33" s="149"/>
      <c r="AA33" s="43"/>
      <c r="AB33" s="442"/>
      <c r="AE33" s="66"/>
      <c r="AF33" s="43"/>
      <c r="AK33" s="46"/>
      <c r="AL33" s="66"/>
      <c r="AM33" s="383"/>
      <c r="AN33" s="136"/>
      <c r="AO33" s="64"/>
      <c r="AP33" s="387" t="s">
        <v>2591</v>
      </c>
      <c r="AR33" s="186"/>
      <c r="AS33" s="186"/>
      <c r="BK33" s="156"/>
      <c r="BL33" s="157"/>
      <c r="BO33" s="196"/>
    </row>
    <row r="34" spans="1:67" s="53" customFormat="1" ht="18" customHeight="1" thickBot="1">
      <c r="A34" s="198"/>
      <c r="B34" s="379"/>
      <c r="C34" s="43"/>
      <c r="D34" s="149"/>
      <c r="E34" s="43"/>
      <c r="F34" s="66"/>
      <c r="G34" s="57"/>
      <c r="H34" s="80"/>
      <c r="N34" s="304" t="s">
        <v>2552</v>
      </c>
      <c r="O34" s="342">
        <f>SUM(Q43+S43)</f>
        <v>38.599999999999994</v>
      </c>
      <c r="P34" s="43"/>
      <c r="Q34" s="43"/>
      <c r="R34" s="256">
        <v>1</v>
      </c>
      <c r="S34" s="66"/>
      <c r="T34" s="66"/>
      <c r="U34" s="66"/>
      <c r="V34" s="66"/>
      <c r="W34" s="66"/>
      <c r="X34" s="66"/>
      <c r="Y34" s="66"/>
      <c r="Z34" s="43"/>
      <c r="AA34" s="43"/>
      <c r="AB34" s="442"/>
      <c r="AE34" s="66"/>
      <c r="AF34" s="43"/>
      <c r="AG34" s="46"/>
      <c r="AH34" s="66"/>
      <c r="AI34" s="66"/>
      <c r="AJ34" s="43"/>
      <c r="AK34" s="43"/>
      <c r="AL34" s="43"/>
      <c r="AM34" s="140"/>
      <c r="AN34" s="136"/>
      <c r="AO34" s="64"/>
      <c r="AP34" s="64"/>
      <c r="AQ34" s="43"/>
      <c r="AR34" s="186"/>
      <c r="AS34" s="186"/>
      <c r="BK34" s="156" t="s">
        <v>160</v>
      </c>
      <c r="BL34" s="157">
        <v>62</v>
      </c>
      <c r="BO34" s="196"/>
    </row>
    <row r="35" spans="1:67" s="53" customFormat="1" ht="18" customHeight="1">
      <c r="A35" s="198"/>
      <c r="B35" s="379"/>
      <c r="C35" s="43"/>
      <c r="D35" s="149"/>
      <c r="E35" s="43"/>
      <c r="F35" s="66"/>
      <c r="G35" s="57"/>
      <c r="H35" s="80"/>
      <c r="O35" s="141"/>
      <c r="R35" s="57"/>
      <c r="S35" s="142"/>
      <c r="T35" s="57"/>
      <c r="U35" s="57"/>
      <c r="V35" s="57"/>
      <c r="W35" s="57"/>
      <c r="X35" s="57"/>
      <c r="Y35" s="57"/>
      <c r="Z35" s="43"/>
      <c r="AF35" s="43"/>
      <c r="AG35" s="46"/>
      <c r="AH35" s="57"/>
      <c r="AI35" s="57"/>
      <c r="AL35" s="67"/>
      <c r="AM35" s="140"/>
      <c r="AN35" s="136"/>
      <c r="AO35" s="64"/>
      <c r="AP35" s="64"/>
      <c r="AQ35" s="43"/>
      <c r="AR35" s="186"/>
      <c r="AS35" s="187"/>
      <c r="AX35" s="142"/>
      <c r="BK35" s="156" t="s">
        <v>161</v>
      </c>
      <c r="BL35" s="157">
        <v>74</v>
      </c>
      <c r="BO35" s="196"/>
    </row>
    <row r="36" spans="1:67" s="53" customFormat="1" ht="18" customHeight="1">
      <c r="A36" s="198"/>
      <c r="B36" s="43"/>
      <c r="C36" s="43"/>
      <c r="D36" s="43"/>
      <c r="E36" s="43"/>
      <c r="F36" s="43"/>
      <c r="G36" s="43"/>
      <c r="H36" s="46"/>
      <c r="I36" s="43"/>
      <c r="J36" s="43"/>
      <c r="K36" s="43"/>
      <c r="L36" s="43"/>
      <c r="M36" s="43"/>
      <c r="N36" s="43"/>
      <c r="O36" s="129"/>
      <c r="P36" s="43"/>
      <c r="Q36" s="43"/>
      <c r="R36" s="57"/>
      <c r="S36" s="66"/>
      <c r="T36" s="66"/>
      <c r="U36" s="66"/>
      <c r="V36" s="66"/>
      <c r="W36" s="66"/>
      <c r="X36" s="66"/>
      <c r="Y36" s="66"/>
      <c r="Z36" s="43"/>
      <c r="AF36" s="43"/>
      <c r="AG36" s="46"/>
      <c r="AH36" s="43"/>
      <c r="AI36" s="43"/>
      <c r="AJ36" s="43"/>
      <c r="AK36" s="43"/>
      <c r="AL36" s="43"/>
      <c r="AM36" s="140"/>
      <c r="AN36" s="136"/>
      <c r="AO36" s="64"/>
      <c r="AP36" s="64"/>
      <c r="AQ36" s="43"/>
      <c r="AR36" s="187"/>
      <c r="AS36" s="187"/>
      <c r="AT36" s="182" t="b">
        <v>0</v>
      </c>
      <c r="AX36" s="43"/>
      <c r="AY36" s="43"/>
      <c r="AZ36" s="43"/>
      <c r="BA36" s="43"/>
      <c r="BB36" s="43"/>
      <c r="BC36" s="43"/>
      <c r="BD36" s="43"/>
      <c r="BE36" s="43"/>
      <c r="BF36" s="43"/>
      <c r="BG36" s="43"/>
      <c r="BH36" s="43"/>
      <c r="BI36" s="43"/>
      <c r="BJ36" s="43"/>
      <c r="BK36" s="156" t="s">
        <v>162</v>
      </c>
      <c r="BL36" s="157">
        <v>55</v>
      </c>
      <c r="BO36" s="196"/>
    </row>
    <row r="37" spans="1:67" s="43" customFormat="1" ht="18" customHeight="1">
      <c r="A37" s="198"/>
      <c r="B37" s="146"/>
      <c r="E37" s="66"/>
      <c r="F37" s="66"/>
      <c r="G37" s="334"/>
      <c r="H37" s="335"/>
      <c r="I37" s="334"/>
      <c r="J37" s="334"/>
      <c r="K37" s="334"/>
      <c r="L37" s="334"/>
      <c r="M37" s="334"/>
      <c r="N37" s="334"/>
      <c r="O37" s="336"/>
      <c r="R37" s="66"/>
      <c r="S37" s="66"/>
      <c r="T37" s="66"/>
      <c r="U37" s="66"/>
      <c r="V37" s="437" t="s">
        <v>21</v>
      </c>
      <c r="W37" s="438"/>
      <c r="X37" s="78" t="str">
        <f>Worksheet!X37</f>
        <v>Doyle</v>
      </c>
      <c r="Y37" s="258"/>
      <c r="AG37" s="46"/>
      <c r="AJ37" s="66"/>
      <c r="AK37" s="66"/>
      <c r="AN37" s="382"/>
      <c r="AO37" s="64"/>
      <c r="AP37" s="64"/>
      <c r="AR37" s="187"/>
      <c r="AS37" s="186"/>
      <c r="AT37" s="198"/>
      <c r="AX37" s="64"/>
      <c r="BK37" s="156" t="s">
        <v>134</v>
      </c>
      <c r="BL37" s="157"/>
      <c r="BM37" s="53"/>
      <c r="BO37" s="195"/>
    </row>
    <row r="38" spans="1:67" s="43" customFormat="1" ht="18" customHeight="1">
      <c r="A38" s="198"/>
      <c r="B38" s="146"/>
      <c r="G38" s="146"/>
      <c r="H38" s="147"/>
      <c r="I38" s="146"/>
      <c r="J38" s="146"/>
      <c r="K38" s="146"/>
      <c r="L38" s="146"/>
      <c r="M38" s="146"/>
      <c r="N38" s="146"/>
      <c r="O38" s="129"/>
      <c r="R38" s="182" t="b">
        <v>1</v>
      </c>
      <c r="S38" s="64"/>
      <c r="W38" s="64"/>
      <c r="X38" s="64"/>
      <c r="AG38" s="46"/>
      <c r="AM38" s="64"/>
      <c r="AN38" s="148"/>
      <c r="AO38" s="384"/>
      <c r="AP38" s="384"/>
      <c r="AR38" s="188"/>
      <c r="AS38" s="188"/>
      <c r="AX38" s="64"/>
      <c r="BK38" s="156" t="s">
        <v>163</v>
      </c>
      <c r="BL38" s="157">
        <v>54</v>
      </c>
      <c r="BM38" s="53"/>
      <c r="BO38" s="195"/>
    </row>
    <row r="39" spans="1:67" s="43" customFormat="1" ht="18" customHeight="1">
      <c r="A39" s="198"/>
      <c r="D39" s="149"/>
      <c r="H39" s="46"/>
      <c r="O39" s="129"/>
      <c r="AG39" s="46"/>
      <c r="AL39" s="50"/>
      <c r="AN39" s="51"/>
      <c r="AO39"/>
      <c r="AP39"/>
      <c r="AQ39"/>
      <c r="AR39"/>
      <c r="AS39"/>
      <c r="BK39" s="156" t="s">
        <v>164</v>
      </c>
      <c r="BL39" s="157">
        <v>54</v>
      </c>
      <c r="BM39" s="53"/>
      <c r="BO39" s="195"/>
    </row>
    <row r="40" spans="1:67" s="43" customFormat="1" ht="18" customHeight="1">
      <c r="A40" s="200"/>
      <c r="B40"/>
      <c r="C40"/>
      <c r="D40" s="1"/>
      <c r="E40"/>
      <c r="F40"/>
      <c r="G40"/>
      <c r="H40" s="5"/>
      <c r="I40"/>
      <c r="J40"/>
      <c r="K40"/>
      <c r="L40"/>
      <c r="M40"/>
      <c r="N40"/>
      <c r="O40" s="15"/>
      <c r="P40"/>
      <c r="Q40"/>
      <c r="R40"/>
      <c r="T40"/>
      <c r="U40"/>
      <c r="V40"/>
      <c r="W40"/>
      <c r="X40"/>
      <c r="Y40"/>
      <c r="Z40"/>
      <c r="AF40"/>
      <c r="AG40" s="5"/>
      <c r="AH40"/>
      <c r="AI40"/>
      <c r="AJ40"/>
      <c r="AK40"/>
      <c r="AL40" s="2"/>
      <c r="AM40" s="2"/>
      <c r="AN40" s="4"/>
      <c r="AO40" s="2"/>
      <c r="AP40" s="2"/>
      <c r="AQ40" s="2"/>
      <c r="AR40" s="2"/>
      <c r="AS40" s="2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 s="156"/>
      <c r="BL40" s="157"/>
      <c r="BM40" s="53"/>
      <c r="BO40" s="195"/>
    </row>
    <row r="41" spans="1:67" ht="15.95" customHeight="1">
      <c r="BK41" s="53"/>
      <c r="BL41" s="53"/>
      <c r="BM41" s="53"/>
    </row>
    <row r="42" spans="1:67" ht="15.95" customHeight="1" thickBot="1">
      <c r="BK42" s="53"/>
      <c r="BL42" s="53"/>
      <c r="BM42" s="43"/>
    </row>
    <row r="43" spans="1:67" ht="15.95" customHeight="1" thickBot="1">
      <c r="Q43" s="352">
        <f>SUM(Q11:Q30)</f>
        <v>22.799999999999997</v>
      </c>
      <c r="S43" s="352">
        <f>SUM(S11:S30)</f>
        <v>15.8</v>
      </c>
      <c r="BK43" s="53"/>
      <c r="BL43" s="53"/>
      <c r="BM43" s="43"/>
    </row>
    <row r="44" spans="1:67">
      <c r="BK44" s="53"/>
      <c r="BL44" s="53"/>
      <c r="BM44" s="43"/>
    </row>
    <row r="45" spans="1:67">
      <c r="BK45" s="53"/>
      <c r="BL45" s="53"/>
      <c r="BM45" s="43"/>
    </row>
    <row r="46" spans="1:67">
      <c r="BK46" s="53"/>
      <c r="BL46" s="53"/>
    </row>
    <row r="47" spans="1:67">
      <c r="BK47" s="43"/>
      <c r="BL47" s="43"/>
    </row>
    <row r="48" spans="1:67">
      <c r="BK48" s="43"/>
      <c r="BL48" s="43"/>
    </row>
    <row r="49" spans="63:64">
      <c r="BK49" s="43"/>
      <c r="BL49" s="43"/>
    </row>
    <row r="50" spans="63:64">
      <c r="BK50" s="43"/>
      <c r="BL50" s="43"/>
    </row>
  </sheetData>
  <sheetProtection selectLockedCells="1"/>
  <protectedRanges>
    <protectedRange password="CC3B" sqref="AK28:AK30 AY28:AY30 K28:L30 T28:U30 AB28:AB30 BK38:BL41 BN28:JH31 BM33:BM36 AR28:AS30 N28:O30 BC28:BJ30 Z28:Z30" name="Range2"/>
    <protectedRange password="CC3B" sqref="AA11:AA30" name="widths"/>
    <protectedRange password="CC3B" sqref="S11:S30" name="widths_1"/>
    <protectedRange password="CC3B" sqref="AD11:AD30" name="widths_2"/>
  </protectedRanges>
  <mergeCells count="13">
    <mergeCell ref="C9:C10"/>
    <mergeCell ref="P9:P10"/>
    <mergeCell ref="AH9:AH10"/>
    <mergeCell ref="AI9:AI10"/>
    <mergeCell ref="AB32:AB34"/>
    <mergeCell ref="BB4:BJ4"/>
    <mergeCell ref="AJ8:AK8"/>
    <mergeCell ref="V37:W37"/>
    <mergeCell ref="N1:T1"/>
    <mergeCell ref="P4:Q4"/>
    <mergeCell ref="R4:T4"/>
    <mergeCell ref="AH4:AK4"/>
    <mergeCell ref="AB4:AF5"/>
  </mergeCells>
  <conditionalFormatting sqref="R4:T4">
    <cfRule type="containsBlanks" dxfId="3" priority="1">
      <formula>LEN(TRIM(R4))=0</formula>
    </cfRule>
  </conditionalFormatting>
  <dataValidations count="5">
    <dataValidation type="list" allowBlank="1" showInputMessage="1" showErrorMessage="1" sqref="X11:X30" xr:uid="{3CF28E01-A95C-4DEF-909E-D67E01FC0C40}">
      <formula1>$BK$29:$BK$37</formula1>
    </dataValidation>
    <dataValidation type="list" allowBlank="1" showInputMessage="1" showErrorMessage="1" sqref="W11:W30" xr:uid="{1BBDD0C5-A41D-4C61-A5C8-2A90AA649659}">
      <formula1>$BK$11:$BK$40</formula1>
    </dataValidation>
    <dataValidation type="whole" operator="equal" allowBlank="1" showInputMessage="1" showErrorMessage="1" errorTitle="Value Too High" error="Please enter 1 drapery per line." sqref="D13:D14 D21:D30" xr:uid="{D46C8346-B279-44DC-B5C3-F900065D52BB}">
      <formula1>1</formula1>
    </dataValidation>
    <dataValidation type="list" allowBlank="1" showInputMessage="1" showErrorMessage="1" sqref="F11:F30" xr:uid="{A5CD3D8E-A530-48C2-94AB-ED47AE19BF46}">
      <formula1>$BN$11:$BN$17</formula1>
    </dataValidation>
    <dataValidation type="whole" operator="equal" allowBlank="1" showInputMessage="1" showErrorMessage="1" errorTitle="Value Too High" error="Please enter 1 drapery per line." promptTitle="Only 1" prompt="Enter only 1 drapery per line. " sqref="E25:E26 D11:E11 E13:E14 E16:E20 E28:E29 E22:E23 D15:D20" xr:uid="{47AA1D50-69BD-4B2A-8F25-931D29C74FC9}">
      <formula1>1</formula1>
    </dataValidation>
  </dataValidations>
  <pageMargins left="0.18" right="0.25" top="0.25" bottom="0.28000000000000003" header="0.5" footer="0.5"/>
  <pageSetup scale="68" orientation="landscape" horizontalDpi="300" verticalDpi="4294967292" r:id="rId1"/>
  <headerFooter alignWithMargins="0">
    <oddFooter>&amp;Z&amp;F</oddFooter>
  </headerFooter>
  <rowBreaks count="1" manualBreakCount="1">
    <brk id="39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r:id="rId4" name="Option Button 1">
              <controlPr defaultSize="0" autoFill="0" autoLine="0" autoPict="0">
                <anchor moveWithCells="1">
                  <from>
                    <xdr:col>17</xdr:col>
                    <xdr:colOff>133350</xdr:colOff>
                    <xdr:row>31</xdr:row>
                    <xdr:rowOff>38100</xdr:rowOff>
                  </from>
                  <to>
                    <xdr:col>19</xdr:col>
                    <xdr:colOff>85725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8" r:id="rId5" name="Group Box 2">
              <controlPr defaultSize="0" autoFill="0" autoPict="0">
                <anchor moveWithCells="1">
                  <from>
                    <xdr:col>17</xdr:col>
                    <xdr:colOff>57150</xdr:colOff>
                    <xdr:row>36</xdr:row>
                    <xdr:rowOff>0</xdr:rowOff>
                  </from>
                  <to>
                    <xdr:col>18</xdr:col>
                    <xdr:colOff>295275</xdr:colOff>
                    <xdr:row>37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699" r:id="rId6" name="Check Box 3">
              <controlPr defaultSize="0" autoFill="0" autoLine="0" autoPict="0">
                <anchor moveWithCells="1">
                  <from>
                    <xdr:col>17</xdr:col>
                    <xdr:colOff>152400</xdr:colOff>
                    <xdr:row>36</xdr:row>
                    <xdr:rowOff>76200</xdr:rowOff>
                  </from>
                  <to>
                    <xdr:col>18</xdr:col>
                    <xdr:colOff>485775</xdr:colOff>
                    <xdr:row>37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0" r:id="rId7" name="Option Button 4">
              <controlPr defaultSize="0" autoFill="0" autoLine="0" autoPict="0">
                <anchor moveWithCells="1">
                  <from>
                    <xdr:col>17</xdr:col>
                    <xdr:colOff>133350</xdr:colOff>
                    <xdr:row>32</xdr:row>
                    <xdr:rowOff>38100</xdr:rowOff>
                  </from>
                  <to>
                    <xdr:col>19</xdr:col>
                    <xdr:colOff>85725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1" r:id="rId8" name="Option Button 5">
              <controlPr defaultSize="0" autoFill="0" autoLine="0" autoPict="0">
                <anchor moveWithCells="1">
                  <from>
                    <xdr:col>17</xdr:col>
                    <xdr:colOff>133350</xdr:colOff>
                    <xdr:row>33</xdr:row>
                    <xdr:rowOff>47625</xdr:rowOff>
                  </from>
                  <to>
                    <xdr:col>19</xdr:col>
                    <xdr:colOff>85725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2" r:id="rId9" name="Option Button 6">
              <controlPr defaultSize="0" autoFill="0" autoLine="0" autoPict="0">
                <anchor moveWithCells="1">
                  <from>
                    <xdr:col>17</xdr:col>
                    <xdr:colOff>123825</xdr:colOff>
                    <xdr:row>34</xdr:row>
                    <xdr:rowOff>47625</xdr:rowOff>
                  </from>
                  <to>
                    <xdr:col>19</xdr:col>
                    <xdr:colOff>66675</xdr:colOff>
                    <xdr:row>35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3" r:id="rId10" name="Group Box 7">
              <controlPr defaultSize="0" autoFill="0" autoPict="0">
                <anchor moveWithCells="1">
                  <from>
                    <xdr:col>17</xdr:col>
                    <xdr:colOff>76200</xdr:colOff>
                    <xdr:row>30</xdr:row>
                    <xdr:rowOff>161925</xdr:rowOff>
                  </from>
                  <to>
                    <xdr:col>18</xdr:col>
                    <xdr:colOff>342900</xdr:colOff>
                    <xdr:row>35</xdr:row>
                    <xdr:rowOff>123825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04" r:id="rId11" name="Check Box 8">
              <controlPr defaultSize="0" autoFill="0" autoLine="0" autoPict="0">
                <anchor moveWithCells="1">
                  <from>
                    <xdr:col>34</xdr:col>
                    <xdr:colOff>228600</xdr:colOff>
                    <xdr:row>35</xdr:row>
                    <xdr:rowOff>95250</xdr:rowOff>
                  </from>
                  <to>
                    <xdr:col>37</xdr:col>
                    <xdr:colOff>314325</xdr:colOff>
                    <xdr:row>36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F56B74-77AA-4957-8367-4B9CCEAD8D0D}">
          <x14:formula1>
            <xm:f>'Data Sheet'!$B$2:$U$2</xm:f>
          </x14:formula1>
          <xm:sqref>Z4:AA4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8C327-82D6-483D-9274-95D8694B9010}">
  <dimension ref="A1:R269"/>
  <sheetViews>
    <sheetView showGridLines="0" showZeros="0" view="pageBreakPreview" zoomScaleNormal="100" zoomScaleSheetLayoutView="100" workbookViewId="0">
      <selection activeCell="D1" sqref="D1"/>
    </sheetView>
  </sheetViews>
  <sheetFormatPr defaultRowHeight="12.75"/>
  <cols>
    <col min="1" max="1" width="6.42578125" customWidth="1"/>
    <col min="2" max="2" width="8.5703125" customWidth="1"/>
    <col min="3" max="3" width="12" customWidth="1"/>
    <col min="4" max="4" width="8.28515625" customWidth="1"/>
    <col min="5" max="5" width="5" style="19" customWidth="1"/>
    <col min="6" max="6" width="9" style="28" customWidth="1"/>
    <col min="7" max="7" width="3.42578125" style="19" customWidth="1"/>
    <col min="8" max="8" width="11.85546875" style="28" customWidth="1"/>
    <col min="9" max="9" width="11.28515625" style="19" customWidth="1"/>
    <col min="10" max="10" width="5.7109375" style="19" customWidth="1"/>
    <col min="11" max="11" width="6.28515625" customWidth="1"/>
    <col min="12" max="12" width="12" customWidth="1"/>
    <col min="13" max="13" width="7.28515625" style="19" customWidth="1"/>
    <col min="14" max="14" width="5" style="19" customWidth="1"/>
    <col min="15" max="15" width="9" customWidth="1"/>
    <col min="16" max="16" width="3.42578125" customWidth="1"/>
    <col min="17" max="17" width="11.85546875" style="28" customWidth="1"/>
    <col min="18" max="18" width="11.28515625" style="19" customWidth="1"/>
    <col min="19" max="19" width="2.28515625" customWidth="1"/>
    <col min="246" max="246" width="11.7109375" customWidth="1"/>
    <col min="247" max="247" width="7.85546875" customWidth="1"/>
    <col min="248" max="248" width="2.42578125" customWidth="1"/>
    <col min="249" max="249" width="4.28515625" customWidth="1"/>
    <col min="250" max="250" width="2.28515625" customWidth="1"/>
    <col min="251" max="251" width="11.5703125" customWidth="1"/>
    <col min="253" max="253" width="2.7109375" customWidth="1"/>
    <col min="254" max="254" width="9.28515625" customWidth="1"/>
    <col min="255" max="255" width="8.85546875" customWidth="1"/>
    <col min="256" max="256" width="7.5703125" customWidth="1"/>
    <col min="257" max="257" width="6.140625" customWidth="1"/>
    <col min="258" max="258" width="5.7109375" customWidth="1"/>
    <col min="259" max="259" width="11.85546875" customWidth="1"/>
    <col min="260" max="260" width="11.28515625" customWidth="1"/>
    <col min="261" max="261" width="2" customWidth="1"/>
    <col min="262" max="262" width="13" customWidth="1"/>
    <col min="263" max="263" width="9.7109375" customWidth="1"/>
    <col min="264" max="264" width="6.28515625" customWidth="1"/>
    <col min="266" max="266" width="8.85546875" customWidth="1"/>
    <col min="267" max="267" width="4.85546875" customWidth="1"/>
    <col min="268" max="268" width="6.140625" customWidth="1"/>
    <col min="269" max="269" width="7.140625" customWidth="1"/>
    <col min="270" max="270" width="11.85546875" customWidth="1"/>
    <col min="271" max="271" width="12.42578125" customWidth="1"/>
    <col min="272" max="272" width="2.28515625" customWidth="1"/>
    <col min="273" max="273" width="13.7109375" customWidth="1"/>
    <col min="274" max="274" width="8.85546875" customWidth="1"/>
    <col min="502" max="502" width="11.7109375" customWidth="1"/>
    <col min="503" max="503" width="7.85546875" customWidth="1"/>
    <col min="504" max="504" width="2.42578125" customWidth="1"/>
    <col min="505" max="505" width="4.28515625" customWidth="1"/>
    <col min="506" max="506" width="2.28515625" customWidth="1"/>
    <col min="507" max="507" width="11.5703125" customWidth="1"/>
    <col min="509" max="509" width="2.7109375" customWidth="1"/>
    <col min="510" max="510" width="9.28515625" customWidth="1"/>
    <col min="511" max="511" width="8.85546875" customWidth="1"/>
    <col min="512" max="512" width="7.5703125" customWidth="1"/>
    <col min="513" max="513" width="6.140625" customWidth="1"/>
    <col min="514" max="514" width="5.7109375" customWidth="1"/>
    <col min="515" max="515" width="11.85546875" customWidth="1"/>
    <col min="516" max="516" width="11.28515625" customWidth="1"/>
    <col min="517" max="517" width="2" customWidth="1"/>
    <col min="518" max="518" width="13" customWidth="1"/>
    <col min="519" max="519" width="9.7109375" customWidth="1"/>
    <col min="520" max="520" width="6.28515625" customWidth="1"/>
    <col min="522" max="522" width="8.85546875" customWidth="1"/>
    <col min="523" max="523" width="4.85546875" customWidth="1"/>
    <col min="524" max="524" width="6.140625" customWidth="1"/>
    <col min="525" max="525" width="7.140625" customWidth="1"/>
    <col min="526" max="526" width="11.85546875" customWidth="1"/>
    <col min="527" max="527" width="12.42578125" customWidth="1"/>
    <col min="528" max="528" width="2.28515625" customWidth="1"/>
    <col min="529" max="529" width="13.7109375" customWidth="1"/>
    <col min="530" max="530" width="8.85546875" customWidth="1"/>
    <col min="758" max="758" width="11.7109375" customWidth="1"/>
    <col min="759" max="759" width="7.85546875" customWidth="1"/>
    <col min="760" max="760" width="2.42578125" customWidth="1"/>
    <col min="761" max="761" width="4.28515625" customWidth="1"/>
    <col min="762" max="762" width="2.28515625" customWidth="1"/>
    <col min="763" max="763" width="11.5703125" customWidth="1"/>
    <col min="765" max="765" width="2.7109375" customWidth="1"/>
    <col min="766" max="766" width="9.28515625" customWidth="1"/>
    <col min="767" max="767" width="8.85546875" customWidth="1"/>
    <col min="768" max="768" width="7.5703125" customWidth="1"/>
    <col min="769" max="769" width="6.140625" customWidth="1"/>
    <col min="770" max="770" width="5.7109375" customWidth="1"/>
    <col min="771" max="771" width="11.85546875" customWidth="1"/>
    <col min="772" max="772" width="11.28515625" customWidth="1"/>
    <col min="773" max="773" width="2" customWidth="1"/>
    <col min="774" max="774" width="13" customWidth="1"/>
    <col min="775" max="775" width="9.7109375" customWidth="1"/>
    <col min="776" max="776" width="6.28515625" customWidth="1"/>
    <col min="778" max="778" width="8.85546875" customWidth="1"/>
    <col min="779" max="779" width="4.85546875" customWidth="1"/>
    <col min="780" max="780" width="6.140625" customWidth="1"/>
    <col min="781" max="781" width="7.140625" customWidth="1"/>
    <col min="782" max="782" width="11.85546875" customWidth="1"/>
    <col min="783" max="783" width="12.42578125" customWidth="1"/>
    <col min="784" max="784" width="2.28515625" customWidth="1"/>
    <col min="785" max="785" width="13.7109375" customWidth="1"/>
    <col min="786" max="786" width="8.85546875" customWidth="1"/>
    <col min="1014" max="1014" width="11.7109375" customWidth="1"/>
    <col min="1015" max="1015" width="7.85546875" customWidth="1"/>
    <col min="1016" max="1016" width="2.42578125" customWidth="1"/>
    <col min="1017" max="1017" width="4.28515625" customWidth="1"/>
    <col min="1018" max="1018" width="2.28515625" customWidth="1"/>
    <col min="1019" max="1019" width="11.5703125" customWidth="1"/>
    <col min="1021" max="1021" width="2.7109375" customWidth="1"/>
    <col min="1022" max="1022" width="9.28515625" customWidth="1"/>
    <col min="1023" max="1023" width="8.85546875" customWidth="1"/>
    <col min="1024" max="1024" width="7.5703125" customWidth="1"/>
    <col min="1025" max="1025" width="6.140625" customWidth="1"/>
    <col min="1026" max="1026" width="5.7109375" customWidth="1"/>
    <col min="1027" max="1027" width="11.85546875" customWidth="1"/>
    <col min="1028" max="1028" width="11.28515625" customWidth="1"/>
    <col min="1029" max="1029" width="2" customWidth="1"/>
    <col min="1030" max="1030" width="13" customWidth="1"/>
    <col min="1031" max="1031" width="9.7109375" customWidth="1"/>
    <col min="1032" max="1032" width="6.28515625" customWidth="1"/>
    <col min="1034" max="1034" width="8.85546875" customWidth="1"/>
    <col min="1035" max="1035" width="4.85546875" customWidth="1"/>
    <col min="1036" max="1036" width="6.140625" customWidth="1"/>
    <col min="1037" max="1037" width="7.140625" customWidth="1"/>
    <col min="1038" max="1038" width="11.85546875" customWidth="1"/>
    <col min="1039" max="1039" width="12.42578125" customWidth="1"/>
    <col min="1040" max="1040" width="2.28515625" customWidth="1"/>
    <col min="1041" max="1041" width="13.7109375" customWidth="1"/>
    <col min="1042" max="1042" width="8.85546875" customWidth="1"/>
    <col min="1270" max="1270" width="11.7109375" customWidth="1"/>
    <col min="1271" max="1271" width="7.85546875" customWidth="1"/>
    <col min="1272" max="1272" width="2.42578125" customWidth="1"/>
    <col min="1273" max="1273" width="4.28515625" customWidth="1"/>
    <col min="1274" max="1274" width="2.28515625" customWidth="1"/>
    <col min="1275" max="1275" width="11.5703125" customWidth="1"/>
    <col min="1277" max="1277" width="2.7109375" customWidth="1"/>
    <col min="1278" max="1278" width="9.28515625" customWidth="1"/>
    <col min="1279" max="1279" width="8.85546875" customWidth="1"/>
    <col min="1280" max="1280" width="7.5703125" customWidth="1"/>
    <col min="1281" max="1281" width="6.140625" customWidth="1"/>
    <col min="1282" max="1282" width="5.7109375" customWidth="1"/>
    <col min="1283" max="1283" width="11.85546875" customWidth="1"/>
    <col min="1284" max="1284" width="11.28515625" customWidth="1"/>
    <col min="1285" max="1285" width="2" customWidth="1"/>
    <col min="1286" max="1286" width="13" customWidth="1"/>
    <col min="1287" max="1287" width="9.7109375" customWidth="1"/>
    <col min="1288" max="1288" width="6.28515625" customWidth="1"/>
    <col min="1290" max="1290" width="8.85546875" customWidth="1"/>
    <col min="1291" max="1291" width="4.85546875" customWidth="1"/>
    <col min="1292" max="1292" width="6.140625" customWidth="1"/>
    <col min="1293" max="1293" width="7.140625" customWidth="1"/>
    <col min="1294" max="1294" width="11.85546875" customWidth="1"/>
    <col min="1295" max="1295" width="12.42578125" customWidth="1"/>
    <col min="1296" max="1296" width="2.28515625" customWidth="1"/>
    <col min="1297" max="1297" width="13.7109375" customWidth="1"/>
    <col min="1298" max="1298" width="8.85546875" customWidth="1"/>
    <col min="1526" max="1526" width="11.7109375" customWidth="1"/>
    <col min="1527" max="1527" width="7.85546875" customWidth="1"/>
    <col min="1528" max="1528" width="2.42578125" customWidth="1"/>
    <col min="1529" max="1529" width="4.28515625" customWidth="1"/>
    <col min="1530" max="1530" width="2.28515625" customWidth="1"/>
    <col min="1531" max="1531" width="11.5703125" customWidth="1"/>
    <col min="1533" max="1533" width="2.7109375" customWidth="1"/>
    <col min="1534" max="1534" width="9.28515625" customWidth="1"/>
    <col min="1535" max="1535" width="8.85546875" customWidth="1"/>
    <col min="1536" max="1536" width="7.5703125" customWidth="1"/>
    <col min="1537" max="1537" width="6.140625" customWidth="1"/>
    <col min="1538" max="1538" width="5.7109375" customWidth="1"/>
    <col min="1539" max="1539" width="11.85546875" customWidth="1"/>
    <col min="1540" max="1540" width="11.28515625" customWidth="1"/>
    <col min="1541" max="1541" width="2" customWidth="1"/>
    <col min="1542" max="1542" width="13" customWidth="1"/>
    <col min="1543" max="1543" width="9.7109375" customWidth="1"/>
    <col min="1544" max="1544" width="6.28515625" customWidth="1"/>
    <col min="1546" max="1546" width="8.85546875" customWidth="1"/>
    <col min="1547" max="1547" width="4.85546875" customWidth="1"/>
    <col min="1548" max="1548" width="6.140625" customWidth="1"/>
    <col min="1549" max="1549" width="7.140625" customWidth="1"/>
    <col min="1550" max="1550" width="11.85546875" customWidth="1"/>
    <col min="1551" max="1551" width="12.42578125" customWidth="1"/>
    <col min="1552" max="1552" width="2.28515625" customWidth="1"/>
    <col min="1553" max="1553" width="13.7109375" customWidth="1"/>
    <col min="1554" max="1554" width="8.85546875" customWidth="1"/>
    <col min="1782" max="1782" width="11.7109375" customWidth="1"/>
    <col min="1783" max="1783" width="7.85546875" customWidth="1"/>
    <col min="1784" max="1784" width="2.42578125" customWidth="1"/>
    <col min="1785" max="1785" width="4.28515625" customWidth="1"/>
    <col min="1786" max="1786" width="2.28515625" customWidth="1"/>
    <col min="1787" max="1787" width="11.5703125" customWidth="1"/>
    <col min="1789" max="1789" width="2.7109375" customWidth="1"/>
    <col min="1790" max="1790" width="9.28515625" customWidth="1"/>
    <col min="1791" max="1791" width="8.85546875" customWidth="1"/>
    <col min="1792" max="1792" width="7.5703125" customWidth="1"/>
    <col min="1793" max="1793" width="6.140625" customWidth="1"/>
    <col min="1794" max="1794" width="5.7109375" customWidth="1"/>
    <col min="1795" max="1795" width="11.85546875" customWidth="1"/>
    <col min="1796" max="1796" width="11.28515625" customWidth="1"/>
    <col min="1797" max="1797" width="2" customWidth="1"/>
    <col min="1798" max="1798" width="13" customWidth="1"/>
    <col min="1799" max="1799" width="9.7109375" customWidth="1"/>
    <col min="1800" max="1800" width="6.28515625" customWidth="1"/>
    <col min="1802" max="1802" width="8.85546875" customWidth="1"/>
    <col min="1803" max="1803" width="4.85546875" customWidth="1"/>
    <col min="1804" max="1804" width="6.140625" customWidth="1"/>
    <col min="1805" max="1805" width="7.140625" customWidth="1"/>
    <col min="1806" max="1806" width="11.85546875" customWidth="1"/>
    <col min="1807" max="1807" width="12.42578125" customWidth="1"/>
    <col min="1808" max="1808" width="2.28515625" customWidth="1"/>
    <col min="1809" max="1809" width="13.7109375" customWidth="1"/>
    <col min="1810" max="1810" width="8.85546875" customWidth="1"/>
    <col min="2038" max="2038" width="11.7109375" customWidth="1"/>
    <col min="2039" max="2039" width="7.85546875" customWidth="1"/>
    <col min="2040" max="2040" width="2.42578125" customWidth="1"/>
    <col min="2041" max="2041" width="4.28515625" customWidth="1"/>
    <col min="2042" max="2042" width="2.28515625" customWidth="1"/>
    <col min="2043" max="2043" width="11.5703125" customWidth="1"/>
    <col min="2045" max="2045" width="2.7109375" customWidth="1"/>
    <col min="2046" max="2046" width="9.28515625" customWidth="1"/>
    <col min="2047" max="2047" width="8.85546875" customWidth="1"/>
    <col min="2048" max="2048" width="7.5703125" customWidth="1"/>
    <col min="2049" max="2049" width="6.140625" customWidth="1"/>
    <col min="2050" max="2050" width="5.7109375" customWidth="1"/>
    <col min="2051" max="2051" width="11.85546875" customWidth="1"/>
    <col min="2052" max="2052" width="11.28515625" customWidth="1"/>
    <col min="2053" max="2053" width="2" customWidth="1"/>
    <col min="2054" max="2054" width="13" customWidth="1"/>
    <col min="2055" max="2055" width="9.7109375" customWidth="1"/>
    <col min="2056" max="2056" width="6.28515625" customWidth="1"/>
    <col min="2058" max="2058" width="8.85546875" customWidth="1"/>
    <col min="2059" max="2059" width="4.85546875" customWidth="1"/>
    <col min="2060" max="2060" width="6.140625" customWidth="1"/>
    <col min="2061" max="2061" width="7.140625" customWidth="1"/>
    <col min="2062" max="2062" width="11.85546875" customWidth="1"/>
    <col min="2063" max="2063" width="12.42578125" customWidth="1"/>
    <col min="2064" max="2064" width="2.28515625" customWidth="1"/>
    <col min="2065" max="2065" width="13.7109375" customWidth="1"/>
    <col min="2066" max="2066" width="8.85546875" customWidth="1"/>
    <col min="2294" max="2294" width="11.7109375" customWidth="1"/>
    <col min="2295" max="2295" width="7.85546875" customWidth="1"/>
    <col min="2296" max="2296" width="2.42578125" customWidth="1"/>
    <col min="2297" max="2297" width="4.28515625" customWidth="1"/>
    <col min="2298" max="2298" width="2.28515625" customWidth="1"/>
    <col min="2299" max="2299" width="11.5703125" customWidth="1"/>
    <col min="2301" max="2301" width="2.7109375" customWidth="1"/>
    <col min="2302" max="2302" width="9.28515625" customWidth="1"/>
    <col min="2303" max="2303" width="8.85546875" customWidth="1"/>
    <col min="2304" max="2304" width="7.5703125" customWidth="1"/>
    <col min="2305" max="2305" width="6.140625" customWidth="1"/>
    <col min="2306" max="2306" width="5.7109375" customWidth="1"/>
    <col min="2307" max="2307" width="11.85546875" customWidth="1"/>
    <col min="2308" max="2308" width="11.28515625" customWidth="1"/>
    <col min="2309" max="2309" width="2" customWidth="1"/>
    <col min="2310" max="2310" width="13" customWidth="1"/>
    <col min="2311" max="2311" width="9.7109375" customWidth="1"/>
    <col min="2312" max="2312" width="6.28515625" customWidth="1"/>
    <col min="2314" max="2314" width="8.85546875" customWidth="1"/>
    <col min="2315" max="2315" width="4.85546875" customWidth="1"/>
    <col min="2316" max="2316" width="6.140625" customWidth="1"/>
    <col min="2317" max="2317" width="7.140625" customWidth="1"/>
    <col min="2318" max="2318" width="11.85546875" customWidth="1"/>
    <col min="2319" max="2319" width="12.42578125" customWidth="1"/>
    <col min="2320" max="2320" width="2.28515625" customWidth="1"/>
    <col min="2321" max="2321" width="13.7109375" customWidth="1"/>
    <col min="2322" max="2322" width="8.85546875" customWidth="1"/>
    <col min="2550" max="2550" width="11.7109375" customWidth="1"/>
    <col min="2551" max="2551" width="7.85546875" customWidth="1"/>
    <col min="2552" max="2552" width="2.42578125" customWidth="1"/>
    <col min="2553" max="2553" width="4.28515625" customWidth="1"/>
    <col min="2554" max="2554" width="2.28515625" customWidth="1"/>
    <col min="2555" max="2555" width="11.5703125" customWidth="1"/>
    <col min="2557" max="2557" width="2.7109375" customWidth="1"/>
    <col min="2558" max="2558" width="9.28515625" customWidth="1"/>
    <col min="2559" max="2559" width="8.85546875" customWidth="1"/>
    <col min="2560" max="2560" width="7.5703125" customWidth="1"/>
    <col min="2561" max="2561" width="6.140625" customWidth="1"/>
    <col min="2562" max="2562" width="5.7109375" customWidth="1"/>
    <col min="2563" max="2563" width="11.85546875" customWidth="1"/>
    <col min="2564" max="2564" width="11.28515625" customWidth="1"/>
    <col min="2565" max="2565" width="2" customWidth="1"/>
    <col min="2566" max="2566" width="13" customWidth="1"/>
    <col min="2567" max="2567" width="9.7109375" customWidth="1"/>
    <col min="2568" max="2568" width="6.28515625" customWidth="1"/>
    <col min="2570" max="2570" width="8.85546875" customWidth="1"/>
    <col min="2571" max="2571" width="4.85546875" customWidth="1"/>
    <col min="2572" max="2572" width="6.140625" customWidth="1"/>
    <col min="2573" max="2573" width="7.140625" customWidth="1"/>
    <col min="2574" max="2574" width="11.85546875" customWidth="1"/>
    <col min="2575" max="2575" width="12.42578125" customWidth="1"/>
    <col min="2576" max="2576" width="2.28515625" customWidth="1"/>
    <col min="2577" max="2577" width="13.7109375" customWidth="1"/>
    <col min="2578" max="2578" width="8.85546875" customWidth="1"/>
    <col min="2806" max="2806" width="11.7109375" customWidth="1"/>
    <col min="2807" max="2807" width="7.85546875" customWidth="1"/>
    <col min="2808" max="2808" width="2.42578125" customWidth="1"/>
    <col min="2809" max="2809" width="4.28515625" customWidth="1"/>
    <col min="2810" max="2810" width="2.28515625" customWidth="1"/>
    <col min="2811" max="2811" width="11.5703125" customWidth="1"/>
    <col min="2813" max="2813" width="2.7109375" customWidth="1"/>
    <col min="2814" max="2814" width="9.28515625" customWidth="1"/>
    <col min="2815" max="2815" width="8.85546875" customWidth="1"/>
    <col min="2816" max="2816" width="7.5703125" customWidth="1"/>
    <col min="2817" max="2817" width="6.140625" customWidth="1"/>
    <col min="2818" max="2818" width="5.7109375" customWidth="1"/>
    <col min="2819" max="2819" width="11.85546875" customWidth="1"/>
    <col min="2820" max="2820" width="11.28515625" customWidth="1"/>
    <col min="2821" max="2821" width="2" customWidth="1"/>
    <col min="2822" max="2822" width="13" customWidth="1"/>
    <col min="2823" max="2823" width="9.7109375" customWidth="1"/>
    <col min="2824" max="2824" width="6.28515625" customWidth="1"/>
    <col min="2826" max="2826" width="8.85546875" customWidth="1"/>
    <col min="2827" max="2827" width="4.85546875" customWidth="1"/>
    <col min="2828" max="2828" width="6.140625" customWidth="1"/>
    <col min="2829" max="2829" width="7.140625" customWidth="1"/>
    <col min="2830" max="2830" width="11.85546875" customWidth="1"/>
    <col min="2831" max="2831" width="12.42578125" customWidth="1"/>
    <col min="2832" max="2832" width="2.28515625" customWidth="1"/>
    <col min="2833" max="2833" width="13.7109375" customWidth="1"/>
    <col min="2834" max="2834" width="8.85546875" customWidth="1"/>
    <col min="3062" max="3062" width="11.7109375" customWidth="1"/>
    <col min="3063" max="3063" width="7.85546875" customWidth="1"/>
    <col min="3064" max="3064" width="2.42578125" customWidth="1"/>
    <col min="3065" max="3065" width="4.28515625" customWidth="1"/>
    <col min="3066" max="3066" width="2.28515625" customWidth="1"/>
    <col min="3067" max="3067" width="11.5703125" customWidth="1"/>
    <col min="3069" max="3069" width="2.7109375" customWidth="1"/>
    <col min="3070" max="3070" width="9.28515625" customWidth="1"/>
    <col min="3071" max="3071" width="8.85546875" customWidth="1"/>
    <col min="3072" max="3072" width="7.5703125" customWidth="1"/>
    <col min="3073" max="3073" width="6.140625" customWidth="1"/>
    <col min="3074" max="3074" width="5.7109375" customWidth="1"/>
    <col min="3075" max="3075" width="11.85546875" customWidth="1"/>
    <col min="3076" max="3076" width="11.28515625" customWidth="1"/>
    <col min="3077" max="3077" width="2" customWidth="1"/>
    <col min="3078" max="3078" width="13" customWidth="1"/>
    <col min="3079" max="3079" width="9.7109375" customWidth="1"/>
    <col min="3080" max="3080" width="6.28515625" customWidth="1"/>
    <col min="3082" max="3082" width="8.85546875" customWidth="1"/>
    <col min="3083" max="3083" width="4.85546875" customWidth="1"/>
    <col min="3084" max="3084" width="6.140625" customWidth="1"/>
    <col min="3085" max="3085" width="7.140625" customWidth="1"/>
    <col min="3086" max="3086" width="11.85546875" customWidth="1"/>
    <col min="3087" max="3087" width="12.42578125" customWidth="1"/>
    <col min="3088" max="3088" width="2.28515625" customWidth="1"/>
    <col min="3089" max="3089" width="13.7109375" customWidth="1"/>
    <col min="3090" max="3090" width="8.85546875" customWidth="1"/>
    <col min="3318" max="3318" width="11.7109375" customWidth="1"/>
    <col min="3319" max="3319" width="7.85546875" customWidth="1"/>
    <col min="3320" max="3320" width="2.42578125" customWidth="1"/>
    <col min="3321" max="3321" width="4.28515625" customWidth="1"/>
    <col min="3322" max="3322" width="2.28515625" customWidth="1"/>
    <col min="3323" max="3323" width="11.5703125" customWidth="1"/>
    <col min="3325" max="3325" width="2.7109375" customWidth="1"/>
    <col min="3326" max="3326" width="9.28515625" customWidth="1"/>
    <col min="3327" max="3327" width="8.85546875" customWidth="1"/>
    <col min="3328" max="3328" width="7.5703125" customWidth="1"/>
    <col min="3329" max="3329" width="6.140625" customWidth="1"/>
    <col min="3330" max="3330" width="5.7109375" customWidth="1"/>
    <col min="3331" max="3331" width="11.85546875" customWidth="1"/>
    <col min="3332" max="3332" width="11.28515625" customWidth="1"/>
    <col min="3333" max="3333" width="2" customWidth="1"/>
    <col min="3334" max="3334" width="13" customWidth="1"/>
    <col min="3335" max="3335" width="9.7109375" customWidth="1"/>
    <col min="3336" max="3336" width="6.28515625" customWidth="1"/>
    <col min="3338" max="3338" width="8.85546875" customWidth="1"/>
    <col min="3339" max="3339" width="4.85546875" customWidth="1"/>
    <col min="3340" max="3340" width="6.140625" customWidth="1"/>
    <col min="3341" max="3341" width="7.140625" customWidth="1"/>
    <col min="3342" max="3342" width="11.85546875" customWidth="1"/>
    <col min="3343" max="3343" width="12.42578125" customWidth="1"/>
    <col min="3344" max="3344" width="2.28515625" customWidth="1"/>
    <col min="3345" max="3345" width="13.7109375" customWidth="1"/>
    <col min="3346" max="3346" width="8.85546875" customWidth="1"/>
    <col min="3574" max="3574" width="11.7109375" customWidth="1"/>
    <col min="3575" max="3575" width="7.85546875" customWidth="1"/>
    <col min="3576" max="3576" width="2.42578125" customWidth="1"/>
    <col min="3577" max="3577" width="4.28515625" customWidth="1"/>
    <col min="3578" max="3578" width="2.28515625" customWidth="1"/>
    <col min="3579" max="3579" width="11.5703125" customWidth="1"/>
    <col min="3581" max="3581" width="2.7109375" customWidth="1"/>
    <col min="3582" max="3582" width="9.28515625" customWidth="1"/>
    <col min="3583" max="3583" width="8.85546875" customWidth="1"/>
    <col min="3584" max="3584" width="7.5703125" customWidth="1"/>
    <col min="3585" max="3585" width="6.140625" customWidth="1"/>
    <col min="3586" max="3586" width="5.7109375" customWidth="1"/>
    <col min="3587" max="3587" width="11.85546875" customWidth="1"/>
    <col min="3588" max="3588" width="11.28515625" customWidth="1"/>
    <col min="3589" max="3589" width="2" customWidth="1"/>
    <col min="3590" max="3590" width="13" customWidth="1"/>
    <col min="3591" max="3591" width="9.7109375" customWidth="1"/>
    <col min="3592" max="3592" width="6.28515625" customWidth="1"/>
    <col min="3594" max="3594" width="8.85546875" customWidth="1"/>
    <col min="3595" max="3595" width="4.85546875" customWidth="1"/>
    <col min="3596" max="3596" width="6.140625" customWidth="1"/>
    <col min="3597" max="3597" width="7.140625" customWidth="1"/>
    <col min="3598" max="3598" width="11.85546875" customWidth="1"/>
    <col min="3599" max="3599" width="12.42578125" customWidth="1"/>
    <col min="3600" max="3600" width="2.28515625" customWidth="1"/>
    <col min="3601" max="3601" width="13.7109375" customWidth="1"/>
    <col min="3602" max="3602" width="8.85546875" customWidth="1"/>
    <col min="3830" max="3830" width="11.7109375" customWidth="1"/>
    <col min="3831" max="3831" width="7.85546875" customWidth="1"/>
    <col min="3832" max="3832" width="2.42578125" customWidth="1"/>
    <col min="3833" max="3833" width="4.28515625" customWidth="1"/>
    <col min="3834" max="3834" width="2.28515625" customWidth="1"/>
    <col min="3835" max="3835" width="11.5703125" customWidth="1"/>
    <col min="3837" max="3837" width="2.7109375" customWidth="1"/>
    <col min="3838" max="3838" width="9.28515625" customWidth="1"/>
    <col min="3839" max="3839" width="8.85546875" customWidth="1"/>
    <col min="3840" max="3840" width="7.5703125" customWidth="1"/>
    <col min="3841" max="3841" width="6.140625" customWidth="1"/>
    <col min="3842" max="3842" width="5.7109375" customWidth="1"/>
    <col min="3843" max="3843" width="11.85546875" customWidth="1"/>
    <col min="3844" max="3844" width="11.28515625" customWidth="1"/>
    <col min="3845" max="3845" width="2" customWidth="1"/>
    <col min="3846" max="3846" width="13" customWidth="1"/>
    <col min="3847" max="3847" width="9.7109375" customWidth="1"/>
    <col min="3848" max="3848" width="6.28515625" customWidth="1"/>
    <col min="3850" max="3850" width="8.85546875" customWidth="1"/>
    <col min="3851" max="3851" width="4.85546875" customWidth="1"/>
    <col min="3852" max="3852" width="6.140625" customWidth="1"/>
    <col min="3853" max="3853" width="7.140625" customWidth="1"/>
    <col min="3854" max="3854" width="11.85546875" customWidth="1"/>
    <col min="3855" max="3855" width="12.42578125" customWidth="1"/>
    <col min="3856" max="3856" width="2.28515625" customWidth="1"/>
    <col min="3857" max="3857" width="13.7109375" customWidth="1"/>
    <col min="3858" max="3858" width="8.85546875" customWidth="1"/>
    <col min="4086" max="4086" width="11.7109375" customWidth="1"/>
    <col min="4087" max="4087" width="7.85546875" customWidth="1"/>
    <col min="4088" max="4088" width="2.42578125" customWidth="1"/>
    <col min="4089" max="4089" width="4.28515625" customWidth="1"/>
    <col min="4090" max="4090" width="2.28515625" customWidth="1"/>
    <col min="4091" max="4091" width="11.5703125" customWidth="1"/>
    <col min="4093" max="4093" width="2.7109375" customWidth="1"/>
    <col min="4094" max="4094" width="9.28515625" customWidth="1"/>
    <col min="4095" max="4095" width="8.85546875" customWidth="1"/>
    <col min="4096" max="4096" width="7.5703125" customWidth="1"/>
    <col min="4097" max="4097" width="6.140625" customWidth="1"/>
    <col min="4098" max="4098" width="5.7109375" customWidth="1"/>
    <col min="4099" max="4099" width="11.85546875" customWidth="1"/>
    <col min="4100" max="4100" width="11.28515625" customWidth="1"/>
    <col min="4101" max="4101" width="2" customWidth="1"/>
    <col min="4102" max="4102" width="13" customWidth="1"/>
    <col min="4103" max="4103" width="9.7109375" customWidth="1"/>
    <col min="4104" max="4104" width="6.28515625" customWidth="1"/>
    <col min="4106" max="4106" width="8.85546875" customWidth="1"/>
    <col min="4107" max="4107" width="4.85546875" customWidth="1"/>
    <col min="4108" max="4108" width="6.140625" customWidth="1"/>
    <col min="4109" max="4109" width="7.140625" customWidth="1"/>
    <col min="4110" max="4110" width="11.85546875" customWidth="1"/>
    <col min="4111" max="4111" width="12.42578125" customWidth="1"/>
    <col min="4112" max="4112" width="2.28515625" customWidth="1"/>
    <col min="4113" max="4113" width="13.7109375" customWidth="1"/>
    <col min="4114" max="4114" width="8.85546875" customWidth="1"/>
    <col min="4342" max="4342" width="11.7109375" customWidth="1"/>
    <col min="4343" max="4343" width="7.85546875" customWidth="1"/>
    <col min="4344" max="4344" width="2.42578125" customWidth="1"/>
    <col min="4345" max="4345" width="4.28515625" customWidth="1"/>
    <col min="4346" max="4346" width="2.28515625" customWidth="1"/>
    <col min="4347" max="4347" width="11.5703125" customWidth="1"/>
    <col min="4349" max="4349" width="2.7109375" customWidth="1"/>
    <col min="4350" max="4350" width="9.28515625" customWidth="1"/>
    <col min="4351" max="4351" width="8.85546875" customWidth="1"/>
    <col min="4352" max="4352" width="7.5703125" customWidth="1"/>
    <col min="4353" max="4353" width="6.140625" customWidth="1"/>
    <col min="4354" max="4354" width="5.7109375" customWidth="1"/>
    <col min="4355" max="4355" width="11.85546875" customWidth="1"/>
    <col min="4356" max="4356" width="11.28515625" customWidth="1"/>
    <col min="4357" max="4357" width="2" customWidth="1"/>
    <col min="4358" max="4358" width="13" customWidth="1"/>
    <col min="4359" max="4359" width="9.7109375" customWidth="1"/>
    <col min="4360" max="4360" width="6.28515625" customWidth="1"/>
    <col min="4362" max="4362" width="8.85546875" customWidth="1"/>
    <col min="4363" max="4363" width="4.85546875" customWidth="1"/>
    <col min="4364" max="4364" width="6.140625" customWidth="1"/>
    <col min="4365" max="4365" width="7.140625" customWidth="1"/>
    <col min="4366" max="4366" width="11.85546875" customWidth="1"/>
    <col min="4367" max="4367" width="12.42578125" customWidth="1"/>
    <col min="4368" max="4368" width="2.28515625" customWidth="1"/>
    <col min="4369" max="4369" width="13.7109375" customWidth="1"/>
    <col min="4370" max="4370" width="8.85546875" customWidth="1"/>
    <col min="4598" max="4598" width="11.7109375" customWidth="1"/>
    <col min="4599" max="4599" width="7.85546875" customWidth="1"/>
    <col min="4600" max="4600" width="2.42578125" customWidth="1"/>
    <col min="4601" max="4601" width="4.28515625" customWidth="1"/>
    <col min="4602" max="4602" width="2.28515625" customWidth="1"/>
    <col min="4603" max="4603" width="11.5703125" customWidth="1"/>
    <col min="4605" max="4605" width="2.7109375" customWidth="1"/>
    <col min="4606" max="4606" width="9.28515625" customWidth="1"/>
    <col min="4607" max="4607" width="8.85546875" customWidth="1"/>
    <col min="4608" max="4608" width="7.5703125" customWidth="1"/>
    <col min="4609" max="4609" width="6.140625" customWidth="1"/>
    <col min="4610" max="4610" width="5.7109375" customWidth="1"/>
    <col min="4611" max="4611" width="11.85546875" customWidth="1"/>
    <col min="4612" max="4612" width="11.28515625" customWidth="1"/>
    <col min="4613" max="4613" width="2" customWidth="1"/>
    <col min="4614" max="4614" width="13" customWidth="1"/>
    <col min="4615" max="4615" width="9.7109375" customWidth="1"/>
    <col min="4616" max="4616" width="6.28515625" customWidth="1"/>
    <col min="4618" max="4618" width="8.85546875" customWidth="1"/>
    <col min="4619" max="4619" width="4.85546875" customWidth="1"/>
    <col min="4620" max="4620" width="6.140625" customWidth="1"/>
    <col min="4621" max="4621" width="7.140625" customWidth="1"/>
    <col min="4622" max="4622" width="11.85546875" customWidth="1"/>
    <col min="4623" max="4623" width="12.42578125" customWidth="1"/>
    <col min="4624" max="4624" width="2.28515625" customWidth="1"/>
    <col min="4625" max="4625" width="13.7109375" customWidth="1"/>
    <col min="4626" max="4626" width="8.85546875" customWidth="1"/>
    <col min="4854" max="4854" width="11.7109375" customWidth="1"/>
    <col min="4855" max="4855" width="7.85546875" customWidth="1"/>
    <col min="4856" max="4856" width="2.42578125" customWidth="1"/>
    <col min="4857" max="4857" width="4.28515625" customWidth="1"/>
    <col min="4858" max="4858" width="2.28515625" customWidth="1"/>
    <col min="4859" max="4859" width="11.5703125" customWidth="1"/>
    <col min="4861" max="4861" width="2.7109375" customWidth="1"/>
    <col min="4862" max="4862" width="9.28515625" customWidth="1"/>
    <col min="4863" max="4863" width="8.85546875" customWidth="1"/>
    <col min="4864" max="4864" width="7.5703125" customWidth="1"/>
    <col min="4865" max="4865" width="6.140625" customWidth="1"/>
    <col min="4866" max="4866" width="5.7109375" customWidth="1"/>
    <col min="4867" max="4867" width="11.85546875" customWidth="1"/>
    <col min="4868" max="4868" width="11.28515625" customWidth="1"/>
    <col min="4869" max="4869" width="2" customWidth="1"/>
    <col min="4870" max="4870" width="13" customWidth="1"/>
    <col min="4871" max="4871" width="9.7109375" customWidth="1"/>
    <col min="4872" max="4872" width="6.28515625" customWidth="1"/>
    <col min="4874" max="4874" width="8.85546875" customWidth="1"/>
    <col min="4875" max="4875" width="4.85546875" customWidth="1"/>
    <col min="4876" max="4876" width="6.140625" customWidth="1"/>
    <col min="4877" max="4877" width="7.140625" customWidth="1"/>
    <col min="4878" max="4878" width="11.85546875" customWidth="1"/>
    <col min="4879" max="4879" width="12.42578125" customWidth="1"/>
    <col min="4880" max="4880" width="2.28515625" customWidth="1"/>
    <col min="4881" max="4881" width="13.7109375" customWidth="1"/>
    <col min="4882" max="4882" width="8.85546875" customWidth="1"/>
    <col min="5110" max="5110" width="11.7109375" customWidth="1"/>
    <col min="5111" max="5111" width="7.85546875" customWidth="1"/>
    <col min="5112" max="5112" width="2.42578125" customWidth="1"/>
    <col min="5113" max="5113" width="4.28515625" customWidth="1"/>
    <col min="5114" max="5114" width="2.28515625" customWidth="1"/>
    <col min="5115" max="5115" width="11.5703125" customWidth="1"/>
    <col min="5117" max="5117" width="2.7109375" customWidth="1"/>
    <col min="5118" max="5118" width="9.28515625" customWidth="1"/>
    <col min="5119" max="5119" width="8.85546875" customWidth="1"/>
    <col min="5120" max="5120" width="7.5703125" customWidth="1"/>
    <col min="5121" max="5121" width="6.140625" customWidth="1"/>
    <col min="5122" max="5122" width="5.7109375" customWidth="1"/>
    <col min="5123" max="5123" width="11.85546875" customWidth="1"/>
    <col min="5124" max="5124" width="11.28515625" customWidth="1"/>
    <col min="5125" max="5125" width="2" customWidth="1"/>
    <col min="5126" max="5126" width="13" customWidth="1"/>
    <col min="5127" max="5127" width="9.7109375" customWidth="1"/>
    <col min="5128" max="5128" width="6.28515625" customWidth="1"/>
    <col min="5130" max="5130" width="8.85546875" customWidth="1"/>
    <col min="5131" max="5131" width="4.85546875" customWidth="1"/>
    <col min="5132" max="5132" width="6.140625" customWidth="1"/>
    <col min="5133" max="5133" width="7.140625" customWidth="1"/>
    <col min="5134" max="5134" width="11.85546875" customWidth="1"/>
    <col min="5135" max="5135" width="12.42578125" customWidth="1"/>
    <col min="5136" max="5136" width="2.28515625" customWidth="1"/>
    <col min="5137" max="5137" width="13.7109375" customWidth="1"/>
    <col min="5138" max="5138" width="8.85546875" customWidth="1"/>
    <col min="5366" max="5366" width="11.7109375" customWidth="1"/>
    <col min="5367" max="5367" width="7.85546875" customWidth="1"/>
    <col min="5368" max="5368" width="2.42578125" customWidth="1"/>
    <col min="5369" max="5369" width="4.28515625" customWidth="1"/>
    <col min="5370" max="5370" width="2.28515625" customWidth="1"/>
    <col min="5371" max="5371" width="11.5703125" customWidth="1"/>
    <col min="5373" max="5373" width="2.7109375" customWidth="1"/>
    <col min="5374" max="5374" width="9.28515625" customWidth="1"/>
    <col min="5375" max="5375" width="8.85546875" customWidth="1"/>
    <col min="5376" max="5376" width="7.5703125" customWidth="1"/>
    <col min="5377" max="5377" width="6.140625" customWidth="1"/>
    <col min="5378" max="5378" width="5.7109375" customWidth="1"/>
    <col min="5379" max="5379" width="11.85546875" customWidth="1"/>
    <col min="5380" max="5380" width="11.28515625" customWidth="1"/>
    <col min="5381" max="5381" width="2" customWidth="1"/>
    <col min="5382" max="5382" width="13" customWidth="1"/>
    <col min="5383" max="5383" width="9.7109375" customWidth="1"/>
    <col min="5384" max="5384" width="6.28515625" customWidth="1"/>
    <col min="5386" max="5386" width="8.85546875" customWidth="1"/>
    <col min="5387" max="5387" width="4.85546875" customWidth="1"/>
    <col min="5388" max="5388" width="6.140625" customWidth="1"/>
    <col min="5389" max="5389" width="7.140625" customWidth="1"/>
    <col min="5390" max="5390" width="11.85546875" customWidth="1"/>
    <col min="5391" max="5391" width="12.42578125" customWidth="1"/>
    <col min="5392" max="5392" width="2.28515625" customWidth="1"/>
    <col min="5393" max="5393" width="13.7109375" customWidth="1"/>
    <col min="5394" max="5394" width="8.85546875" customWidth="1"/>
    <col min="5622" max="5622" width="11.7109375" customWidth="1"/>
    <col min="5623" max="5623" width="7.85546875" customWidth="1"/>
    <col min="5624" max="5624" width="2.42578125" customWidth="1"/>
    <col min="5625" max="5625" width="4.28515625" customWidth="1"/>
    <col min="5626" max="5626" width="2.28515625" customWidth="1"/>
    <col min="5627" max="5627" width="11.5703125" customWidth="1"/>
    <col min="5629" max="5629" width="2.7109375" customWidth="1"/>
    <col min="5630" max="5630" width="9.28515625" customWidth="1"/>
    <col min="5631" max="5631" width="8.85546875" customWidth="1"/>
    <col min="5632" max="5632" width="7.5703125" customWidth="1"/>
    <col min="5633" max="5633" width="6.140625" customWidth="1"/>
    <col min="5634" max="5634" width="5.7109375" customWidth="1"/>
    <col min="5635" max="5635" width="11.85546875" customWidth="1"/>
    <col min="5636" max="5636" width="11.28515625" customWidth="1"/>
    <col min="5637" max="5637" width="2" customWidth="1"/>
    <col min="5638" max="5638" width="13" customWidth="1"/>
    <col min="5639" max="5639" width="9.7109375" customWidth="1"/>
    <col min="5640" max="5640" width="6.28515625" customWidth="1"/>
    <col min="5642" max="5642" width="8.85546875" customWidth="1"/>
    <col min="5643" max="5643" width="4.85546875" customWidth="1"/>
    <col min="5644" max="5644" width="6.140625" customWidth="1"/>
    <col min="5645" max="5645" width="7.140625" customWidth="1"/>
    <col min="5646" max="5646" width="11.85546875" customWidth="1"/>
    <col min="5647" max="5647" width="12.42578125" customWidth="1"/>
    <col min="5648" max="5648" width="2.28515625" customWidth="1"/>
    <col min="5649" max="5649" width="13.7109375" customWidth="1"/>
    <col min="5650" max="5650" width="8.85546875" customWidth="1"/>
    <col min="5878" max="5878" width="11.7109375" customWidth="1"/>
    <col min="5879" max="5879" width="7.85546875" customWidth="1"/>
    <col min="5880" max="5880" width="2.42578125" customWidth="1"/>
    <col min="5881" max="5881" width="4.28515625" customWidth="1"/>
    <col min="5882" max="5882" width="2.28515625" customWidth="1"/>
    <col min="5883" max="5883" width="11.5703125" customWidth="1"/>
    <col min="5885" max="5885" width="2.7109375" customWidth="1"/>
    <col min="5886" max="5886" width="9.28515625" customWidth="1"/>
    <col min="5887" max="5887" width="8.85546875" customWidth="1"/>
    <col min="5888" max="5888" width="7.5703125" customWidth="1"/>
    <col min="5889" max="5889" width="6.140625" customWidth="1"/>
    <col min="5890" max="5890" width="5.7109375" customWidth="1"/>
    <col min="5891" max="5891" width="11.85546875" customWidth="1"/>
    <col min="5892" max="5892" width="11.28515625" customWidth="1"/>
    <col min="5893" max="5893" width="2" customWidth="1"/>
    <col min="5894" max="5894" width="13" customWidth="1"/>
    <col min="5895" max="5895" width="9.7109375" customWidth="1"/>
    <col min="5896" max="5896" width="6.28515625" customWidth="1"/>
    <col min="5898" max="5898" width="8.85546875" customWidth="1"/>
    <col min="5899" max="5899" width="4.85546875" customWidth="1"/>
    <col min="5900" max="5900" width="6.140625" customWidth="1"/>
    <col min="5901" max="5901" width="7.140625" customWidth="1"/>
    <col min="5902" max="5902" width="11.85546875" customWidth="1"/>
    <col min="5903" max="5903" width="12.42578125" customWidth="1"/>
    <col min="5904" max="5904" width="2.28515625" customWidth="1"/>
    <col min="5905" max="5905" width="13.7109375" customWidth="1"/>
    <col min="5906" max="5906" width="8.85546875" customWidth="1"/>
    <col min="6134" max="6134" width="11.7109375" customWidth="1"/>
    <col min="6135" max="6135" width="7.85546875" customWidth="1"/>
    <col min="6136" max="6136" width="2.42578125" customWidth="1"/>
    <col min="6137" max="6137" width="4.28515625" customWidth="1"/>
    <col min="6138" max="6138" width="2.28515625" customWidth="1"/>
    <col min="6139" max="6139" width="11.5703125" customWidth="1"/>
    <col min="6141" max="6141" width="2.7109375" customWidth="1"/>
    <col min="6142" max="6142" width="9.28515625" customWidth="1"/>
    <col min="6143" max="6143" width="8.85546875" customWidth="1"/>
    <col min="6144" max="6144" width="7.5703125" customWidth="1"/>
    <col min="6145" max="6145" width="6.140625" customWidth="1"/>
    <col min="6146" max="6146" width="5.7109375" customWidth="1"/>
    <col min="6147" max="6147" width="11.85546875" customWidth="1"/>
    <col min="6148" max="6148" width="11.28515625" customWidth="1"/>
    <col min="6149" max="6149" width="2" customWidth="1"/>
    <col min="6150" max="6150" width="13" customWidth="1"/>
    <col min="6151" max="6151" width="9.7109375" customWidth="1"/>
    <col min="6152" max="6152" width="6.28515625" customWidth="1"/>
    <col min="6154" max="6154" width="8.85546875" customWidth="1"/>
    <col min="6155" max="6155" width="4.85546875" customWidth="1"/>
    <col min="6156" max="6156" width="6.140625" customWidth="1"/>
    <col min="6157" max="6157" width="7.140625" customWidth="1"/>
    <col min="6158" max="6158" width="11.85546875" customWidth="1"/>
    <col min="6159" max="6159" width="12.42578125" customWidth="1"/>
    <col min="6160" max="6160" width="2.28515625" customWidth="1"/>
    <col min="6161" max="6161" width="13.7109375" customWidth="1"/>
    <col min="6162" max="6162" width="8.85546875" customWidth="1"/>
    <col min="6390" max="6390" width="11.7109375" customWidth="1"/>
    <col min="6391" max="6391" width="7.85546875" customWidth="1"/>
    <col min="6392" max="6392" width="2.42578125" customWidth="1"/>
    <col min="6393" max="6393" width="4.28515625" customWidth="1"/>
    <col min="6394" max="6394" width="2.28515625" customWidth="1"/>
    <col min="6395" max="6395" width="11.5703125" customWidth="1"/>
    <col min="6397" max="6397" width="2.7109375" customWidth="1"/>
    <col min="6398" max="6398" width="9.28515625" customWidth="1"/>
    <col min="6399" max="6399" width="8.85546875" customWidth="1"/>
    <col min="6400" max="6400" width="7.5703125" customWidth="1"/>
    <col min="6401" max="6401" width="6.140625" customWidth="1"/>
    <col min="6402" max="6402" width="5.7109375" customWidth="1"/>
    <col min="6403" max="6403" width="11.85546875" customWidth="1"/>
    <col min="6404" max="6404" width="11.28515625" customWidth="1"/>
    <col min="6405" max="6405" width="2" customWidth="1"/>
    <col min="6406" max="6406" width="13" customWidth="1"/>
    <col min="6407" max="6407" width="9.7109375" customWidth="1"/>
    <col min="6408" max="6408" width="6.28515625" customWidth="1"/>
    <col min="6410" max="6410" width="8.85546875" customWidth="1"/>
    <col min="6411" max="6411" width="4.85546875" customWidth="1"/>
    <col min="6412" max="6412" width="6.140625" customWidth="1"/>
    <col min="6413" max="6413" width="7.140625" customWidth="1"/>
    <col min="6414" max="6414" width="11.85546875" customWidth="1"/>
    <col min="6415" max="6415" width="12.42578125" customWidth="1"/>
    <col min="6416" max="6416" width="2.28515625" customWidth="1"/>
    <col min="6417" max="6417" width="13.7109375" customWidth="1"/>
    <col min="6418" max="6418" width="8.85546875" customWidth="1"/>
    <col min="6646" max="6646" width="11.7109375" customWidth="1"/>
    <col min="6647" max="6647" width="7.85546875" customWidth="1"/>
    <col min="6648" max="6648" width="2.42578125" customWidth="1"/>
    <col min="6649" max="6649" width="4.28515625" customWidth="1"/>
    <col min="6650" max="6650" width="2.28515625" customWidth="1"/>
    <col min="6651" max="6651" width="11.5703125" customWidth="1"/>
    <col min="6653" max="6653" width="2.7109375" customWidth="1"/>
    <col min="6654" max="6654" width="9.28515625" customWidth="1"/>
    <col min="6655" max="6655" width="8.85546875" customWidth="1"/>
    <col min="6656" max="6656" width="7.5703125" customWidth="1"/>
    <col min="6657" max="6657" width="6.140625" customWidth="1"/>
    <col min="6658" max="6658" width="5.7109375" customWidth="1"/>
    <col min="6659" max="6659" width="11.85546875" customWidth="1"/>
    <col min="6660" max="6660" width="11.28515625" customWidth="1"/>
    <col min="6661" max="6661" width="2" customWidth="1"/>
    <col min="6662" max="6662" width="13" customWidth="1"/>
    <col min="6663" max="6663" width="9.7109375" customWidth="1"/>
    <col min="6664" max="6664" width="6.28515625" customWidth="1"/>
    <col min="6666" max="6666" width="8.85546875" customWidth="1"/>
    <col min="6667" max="6667" width="4.85546875" customWidth="1"/>
    <col min="6668" max="6668" width="6.140625" customWidth="1"/>
    <col min="6669" max="6669" width="7.140625" customWidth="1"/>
    <col min="6670" max="6670" width="11.85546875" customWidth="1"/>
    <col min="6671" max="6671" width="12.42578125" customWidth="1"/>
    <col min="6672" max="6672" width="2.28515625" customWidth="1"/>
    <col min="6673" max="6673" width="13.7109375" customWidth="1"/>
    <col min="6674" max="6674" width="8.85546875" customWidth="1"/>
    <col min="6902" max="6902" width="11.7109375" customWidth="1"/>
    <col min="6903" max="6903" width="7.85546875" customWidth="1"/>
    <col min="6904" max="6904" width="2.42578125" customWidth="1"/>
    <col min="6905" max="6905" width="4.28515625" customWidth="1"/>
    <col min="6906" max="6906" width="2.28515625" customWidth="1"/>
    <col min="6907" max="6907" width="11.5703125" customWidth="1"/>
    <col min="6909" max="6909" width="2.7109375" customWidth="1"/>
    <col min="6910" max="6910" width="9.28515625" customWidth="1"/>
    <col min="6911" max="6911" width="8.85546875" customWidth="1"/>
    <col min="6912" max="6912" width="7.5703125" customWidth="1"/>
    <col min="6913" max="6913" width="6.140625" customWidth="1"/>
    <col min="6914" max="6914" width="5.7109375" customWidth="1"/>
    <col min="6915" max="6915" width="11.85546875" customWidth="1"/>
    <col min="6916" max="6916" width="11.28515625" customWidth="1"/>
    <col min="6917" max="6917" width="2" customWidth="1"/>
    <col min="6918" max="6918" width="13" customWidth="1"/>
    <col min="6919" max="6919" width="9.7109375" customWidth="1"/>
    <col min="6920" max="6920" width="6.28515625" customWidth="1"/>
    <col min="6922" max="6922" width="8.85546875" customWidth="1"/>
    <col min="6923" max="6923" width="4.85546875" customWidth="1"/>
    <col min="6924" max="6924" width="6.140625" customWidth="1"/>
    <col min="6925" max="6925" width="7.140625" customWidth="1"/>
    <col min="6926" max="6926" width="11.85546875" customWidth="1"/>
    <col min="6927" max="6927" width="12.42578125" customWidth="1"/>
    <col min="6928" max="6928" width="2.28515625" customWidth="1"/>
    <col min="6929" max="6929" width="13.7109375" customWidth="1"/>
    <col min="6930" max="6930" width="8.85546875" customWidth="1"/>
    <col min="7158" max="7158" width="11.7109375" customWidth="1"/>
    <col min="7159" max="7159" width="7.85546875" customWidth="1"/>
    <col min="7160" max="7160" width="2.42578125" customWidth="1"/>
    <col min="7161" max="7161" width="4.28515625" customWidth="1"/>
    <col min="7162" max="7162" width="2.28515625" customWidth="1"/>
    <col min="7163" max="7163" width="11.5703125" customWidth="1"/>
    <col min="7165" max="7165" width="2.7109375" customWidth="1"/>
    <col min="7166" max="7166" width="9.28515625" customWidth="1"/>
    <col min="7167" max="7167" width="8.85546875" customWidth="1"/>
    <col min="7168" max="7168" width="7.5703125" customWidth="1"/>
    <col min="7169" max="7169" width="6.140625" customWidth="1"/>
    <col min="7170" max="7170" width="5.7109375" customWidth="1"/>
    <col min="7171" max="7171" width="11.85546875" customWidth="1"/>
    <col min="7172" max="7172" width="11.28515625" customWidth="1"/>
    <col min="7173" max="7173" width="2" customWidth="1"/>
    <col min="7174" max="7174" width="13" customWidth="1"/>
    <col min="7175" max="7175" width="9.7109375" customWidth="1"/>
    <col min="7176" max="7176" width="6.28515625" customWidth="1"/>
    <col min="7178" max="7178" width="8.85546875" customWidth="1"/>
    <col min="7179" max="7179" width="4.85546875" customWidth="1"/>
    <col min="7180" max="7180" width="6.140625" customWidth="1"/>
    <col min="7181" max="7181" width="7.140625" customWidth="1"/>
    <col min="7182" max="7182" width="11.85546875" customWidth="1"/>
    <col min="7183" max="7183" width="12.42578125" customWidth="1"/>
    <col min="7184" max="7184" width="2.28515625" customWidth="1"/>
    <col min="7185" max="7185" width="13.7109375" customWidth="1"/>
    <col min="7186" max="7186" width="8.85546875" customWidth="1"/>
    <col min="7414" max="7414" width="11.7109375" customWidth="1"/>
    <col min="7415" max="7415" width="7.85546875" customWidth="1"/>
    <col min="7416" max="7416" width="2.42578125" customWidth="1"/>
    <col min="7417" max="7417" width="4.28515625" customWidth="1"/>
    <col min="7418" max="7418" width="2.28515625" customWidth="1"/>
    <col min="7419" max="7419" width="11.5703125" customWidth="1"/>
    <col min="7421" max="7421" width="2.7109375" customWidth="1"/>
    <col min="7422" max="7422" width="9.28515625" customWidth="1"/>
    <col min="7423" max="7423" width="8.85546875" customWidth="1"/>
    <col min="7424" max="7424" width="7.5703125" customWidth="1"/>
    <col min="7425" max="7425" width="6.140625" customWidth="1"/>
    <col min="7426" max="7426" width="5.7109375" customWidth="1"/>
    <col min="7427" max="7427" width="11.85546875" customWidth="1"/>
    <col min="7428" max="7428" width="11.28515625" customWidth="1"/>
    <col min="7429" max="7429" width="2" customWidth="1"/>
    <col min="7430" max="7430" width="13" customWidth="1"/>
    <col min="7431" max="7431" width="9.7109375" customWidth="1"/>
    <col min="7432" max="7432" width="6.28515625" customWidth="1"/>
    <col min="7434" max="7434" width="8.85546875" customWidth="1"/>
    <col min="7435" max="7435" width="4.85546875" customWidth="1"/>
    <col min="7436" max="7436" width="6.140625" customWidth="1"/>
    <col min="7437" max="7437" width="7.140625" customWidth="1"/>
    <col min="7438" max="7438" width="11.85546875" customWidth="1"/>
    <col min="7439" max="7439" width="12.42578125" customWidth="1"/>
    <col min="7440" max="7440" width="2.28515625" customWidth="1"/>
    <col min="7441" max="7441" width="13.7109375" customWidth="1"/>
    <col min="7442" max="7442" width="8.85546875" customWidth="1"/>
    <col min="7670" max="7670" width="11.7109375" customWidth="1"/>
    <col min="7671" max="7671" width="7.85546875" customWidth="1"/>
    <col min="7672" max="7672" width="2.42578125" customWidth="1"/>
    <col min="7673" max="7673" width="4.28515625" customWidth="1"/>
    <col min="7674" max="7674" width="2.28515625" customWidth="1"/>
    <col min="7675" max="7675" width="11.5703125" customWidth="1"/>
    <col min="7677" max="7677" width="2.7109375" customWidth="1"/>
    <col min="7678" max="7678" width="9.28515625" customWidth="1"/>
    <col min="7679" max="7679" width="8.85546875" customWidth="1"/>
    <col min="7680" max="7680" width="7.5703125" customWidth="1"/>
    <col min="7681" max="7681" width="6.140625" customWidth="1"/>
    <col min="7682" max="7682" width="5.7109375" customWidth="1"/>
    <col min="7683" max="7683" width="11.85546875" customWidth="1"/>
    <col min="7684" max="7684" width="11.28515625" customWidth="1"/>
    <col min="7685" max="7685" width="2" customWidth="1"/>
    <col min="7686" max="7686" width="13" customWidth="1"/>
    <col min="7687" max="7687" width="9.7109375" customWidth="1"/>
    <col min="7688" max="7688" width="6.28515625" customWidth="1"/>
    <col min="7690" max="7690" width="8.85546875" customWidth="1"/>
    <col min="7691" max="7691" width="4.85546875" customWidth="1"/>
    <col min="7692" max="7692" width="6.140625" customWidth="1"/>
    <col min="7693" max="7693" width="7.140625" customWidth="1"/>
    <col min="7694" max="7694" width="11.85546875" customWidth="1"/>
    <col min="7695" max="7695" width="12.42578125" customWidth="1"/>
    <col min="7696" max="7696" width="2.28515625" customWidth="1"/>
    <col min="7697" max="7697" width="13.7109375" customWidth="1"/>
    <col min="7698" max="7698" width="8.85546875" customWidth="1"/>
    <col min="7926" max="7926" width="11.7109375" customWidth="1"/>
    <col min="7927" max="7927" width="7.85546875" customWidth="1"/>
    <col min="7928" max="7928" width="2.42578125" customWidth="1"/>
    <col min="7929" max="7929" width="4.28515625" customWidth="1"/>
    <col min="7930" max="7930" width="2.28515625" customWidth="1"/>
    <col min="7931" max="7931" width="11.5703125" customWidth="1"/>
    <col min="7933" max="7933" width="2.7109375" customWidth="1"/>
    <col min="7934" max="7934" width="9.28515625" customWidth="1"/>
    <col min="7935" max="7935" width="8.85546875" customWidth="1"/>
    <col min="7936" max="7936" width="7.5703125" customWidth="1"/>
    <col min="7937" max="7937" width="6.140625" customWidth="1"/>
    <col min="7938" max="7938" width="5.7109375" customWidth="1"/>
    <col min="7939" max="7939" width="11.85546875" customWidth="1"/>
    <col min="7940" max="7940" width="11.28515625" customWidth="1"/>
    <col min="7941" max="7941" width="2" customWidth="1"/>
    <col min="7942" max="7942" width="13" customWidth="1"/>
    <col min="7943" max="7943" width="9.7109375" customWidth="1"/>
    <col min="7944" max="7944" width="6.28515625" customWidth="1"/>
    <col min="7946" max="7946" width="8.85546875" customWidth="1"/>
    <col min="7947" max="7947" width="4.85546875" customWidth="1"/>
    <col min="7948" max="7948" width="6.140625" customWidth="1"/>
    <col min="7949" max="7949" width="7.140625" customWidth="1"/>
    <col min="7950" max="7950" width="11.85546875" customWidth="1"/>
    <col min="7951" max="7951" width="12.42578125" customWidth="1"/>
    <col min="7952" max="7952" width="2.28515625" customWidth="1"/>
    <col min="7953" max="7953" width="13.7109375" customWidth="1"/>
    <col min="7954" max="7954" width="8.85546875" customWidth="1"/>
    <col min="8182" max="8182" width="11.7109375" customWidth="1"/>
    <col min="8183" max="8183" width="7.85546875" customWidth="1"/>
    <col min="8184" max="8184" width="2.42578125" customWidth="1"/>
    <col min="8185" max="8185" width="4.28515625" customWidth="1"/>
    <col min="8186" max="8186" width="2.28515625" customWidth="1"/>
    <col min="8187" max="8187" width="11.5703125" customWidth="1"/>
    <col min="8189" max="8189" width="2.7109375" customWidth="1"/>
    <col min="8190" max="8190" width="9.28515625" customWidth="1"/>
    <col min="8191" max="8191" width="8.85546875" customWidth="1"/>
    <col min="8192" max="8192" width="7.5703125" customWidth="1"/>
    <col min="8193" max="8193" width="6.140625" customWidth="1"/>
    <col min="8194" max="8194" width="5.7109375" customWidth="1"/>
    <col min="8195" max="8195" width="11.85546875" customWidth="1"/>
    <col min="8196" max="8196" width="11.28515625" customWidth="1"/>
    <col min="8197" max="8197" width="2" customWidth="1"/>
    <col min="8198" max="8198" width="13" customWidth="1"/>
    <col min="8199" max="8199" width="9.7109375" customWidth="1"/>
    <col min="8200" max="8200" width="6.28515625" customWidth="1"/>
    <col min="8202" max="8202" width="8.85546875" customWidth="1"/>
    <col min="8203" max="8203" width="4.85546875" customWidth="1"/>
    <col min="8204" max="8204" width="6.140625" customWidth="1"/>
    <col min="8205" max="8205" width="7.140625" customWidth="1"/>
    <col min="8206" max="8206" width="11.85546875" customWidth="1"/>
    <col min="8207" max="8207" width="12.42578125" customWidth="1"/>
    <col min="8208" max="8208" width="2.28515625" customWidth="1"/>
    <col min="8209" max="8209" width="13.7109375" customWidth="1"/>
    <col min="8210" max="8210" width="8.85546875" customWidth="1"/>
    <col min="8438" max="8438" width="11.7109375" customWidth="1"/>
    <col min="8439" max="8439" width="7.85546875" customWidth="1"/>
    <col min="8440" max="8440" width="2.42578125" customWidth="1"/>
    <col min="8441" max="8441" width="4.28515625" customWidth="1"/>
    <col min="8442" max="8442" width="2.28515625" customWidth="1"/>
    <col min="8443" max="8443" width="11.5703125" customWidth="1"/>
    <col min="8445" max="8445" width="2.7109375" customWidth="1"/>
    <col min="8446" max="8446" width="9.28515625" customWidth="1"/>
    <col min="8447" max="8447" width="8.85546875" customWidth="1"/>
    <col min="8448" max="8448" width="7.5703125" customWidth="1"/>
    <col min="8449" max="8449" width="6.140625" customWidth="1"/>
    <col min="8450" max="8450" width="5.7109375" customWidth="1"/>
    <col min="8451" max="8451" width="11.85546875" customWidth="1"/>
    <col min="8452" max="8452" width="11.28515625" customWidth="1"/>
    <col min="8453" max="8453" width="2" customWidth="1"/>
    <col min="8454" max="8454" width="13" customWidth="1"/>
    <col min="8455" max="8455" width="9.7109375" customWidth="1"/>
    <col min="8456" max="8456" width="6.28515625" customWidth="1"/>
    <col min="8458" max="8458" width="8.85546875" customWidth="1"/>
    <col min="8459" max="8459" width="4.85546875" customWidth="1"/>
    <col min="8460" max="8460" width="6.140625" customWidth="1"/>
    <col min="8461" max="8461" width="7.140625" customWidth="1"/>
    <col min="8462" max="8462" width="11.85546875" customWidth="1"/>
    <col min="8463" max="8463" width="12.42578125" customWidth="1"/>
    <col min="8464" max="8464" width="2.28515625" customWidth="1"/>
    <col min="8465" max="8465" width="13.7109375" customWidth="1"/>
    <col min="8466" max="8466" width="8.85546875" customWidth="1"/>
    <col min="8694" max="8694" width="11.7109375" customWidth="1"/>
    <col min="8695" max="8695" width="7.85546875" customWidth="1"/>
    <col min="8696" max="8696" width="2.42578125" customWidth="1"/>
    <col min="8697" max="8697" width="4.28515625" customWidth="1"/>
    <col min="8698" max="8698" width="2.28515625" customWidth="1"/>
    <col min="8699" max="8699" width="11.5703125" customWidth="1"/>
    <col min="8701" max="8701" width="2.7109375" customWidth="1"/>
    <col min="8702" max="8702" width="9.28515625" customWidth="1"/>
    <col min="8703" max="8703" width="8.85546875" customWidth="1"/>
    <col min="8704" max="8704" width="7.5703125" customWidth="1"/>
    <col min="8705" max="8705" width="6.140625" customWidth="1"/>
    <col min="8706" max="8706" width="5.7109375" customWidth="1"/>
    <col min="8707" max="8707" width="11.85546875" customWidth="1"/>
    <col min="8708" max="8708" width="11.28515625" customWidth="1"/>
    <col min="8709" max="8709" width="2" customWidth="1"/>
    <col min="8710" max="8710" width="13" customWidth="1"/>
    <col min="8711" max="8711" width="9.7109375" customWidth="1"/>
    <col min="8712" max="8712" width="6.28515625" customWidth="1"/>
    <col min="8714" max="8714" width="8.85546875" customWidth="1"/>
    <col min="8715" max="8715" width="4.85546875" customWidth="1"/>
    <col min="8716" max="8716" width="6.140625" customWidth="1"/>
    <col min="8717" max="8717" width="7.140625" customWidth="1"/>
    <col min="8718" max="8718" width="11.85546875" customWidth="1"/>
    <col min="8719" max="8719" width="12.42578125" customWidth="1"/>
    <col min="8720" max="8720" width="2.28515625" customWidth="1"/>
    <col min="8721" max="8721" width="13.7109375" customWidth="1"/>
    <col min="8722" max="8722" width="8.85546875" customWidth="1"/>
    <col min="8950" max="8950" width="11.7109375" customWidth="1"/>
    <col min="8951" max="8951" width="7.85546875" customWidth="1"/>
    <col min="8952" max="8952" width="2.42578125" customWidth="1"/>
    <col min="8953" max="8953" width="4.28515625" customWidth="1"/>
    <col min="8954" max="8954" width="2.28515625" customWidth="1"/>
    <col min="8955" max="8955" width="11.5703125" customWidth="1"/>
    <col min="8957" max="8957" width="2.7109375" customWidth="1"/>
    <col min="8958" max="8958" width="9.28515625" customWidth="1"/>
    <col min="8959" max="8959" width="8.85546875" customWidth="1"/>
    <col min="8960" max="8960" width="7.5703125" customWidth="1"/>
    <col min="8961" max="8961" width="6.140625" customWidth="1"/>
    <col min="8962" max="8962" width="5.7109375" customWidth="1"/>
    <col min="8963" max="8963" width="11.85546875" customWidth="1"/>
    <col min="8964" max="8964" width="11.28515625" customWidth="1"/>
    <col min="8965" max="8965" width="2" customWidth="1"/>
    <col min="8966" max="8966" width="13" customWidth="1"/>
    <col min="8967" max="8967" width="9.7109375" customWidth="1"/>
    <col min="8968" max="8968" width="6.28515625" customWidth="1"/>
    <col min="8970" max="8970" width="8.85546875" customWidth="1"/>
    <col min="8971" max="8971" width="4.85546875" customWidth="1"/>
    <col min="8972" max="8972" width="6.140625" customWidth="1"/>
    <col min="8973" max="8973" width="7.140625" customWidth="1"/>
    <col min="8974" max="8974" width="11.85546875" customWidth="1"/>
    <col min="8975" max="8975" width="12.42578125" customWidth="1"/>
    <col min="8976" max="8976" width="2.28515625" customWidth="1"/>
    <col min="8977" max="8977" width="13.7109375" customWidth="1"/>
    <col min="8978" max="8978" width="8.85546875" customWidth="1"/>
    <col min="9206" max="9206" width="11.7109375" customWidth="1"/>
    <col min="9207" max="9207" width="7.85546875" customWidth="1"/>
    <col min="9208" max="9208" width="2.42578125" customWidth="1"/>
    <col min="9209" max="9209" width="4.28515625" customWidth="1"/>
    <col min="9210" max="9210" width="2.28515625" customWidth="1"/>
    <col min="9211" max="9211" width="11.5703125" customWidth="1"/>
    <col min="9213" max="9213" width="2.7109375" customWidth="1"/>
    <col min="9214" max="9214" width="9.28515625" customWidth="1"/>
    <col min="9215" max="9215" width="8.85546875" customWidth="1"/>
    <col min="9216" max="9216" width="7.5703125" customWidth="1"/>
    <col min="9217" max="9217" width="6.140625" customWidth="1"/>
    <col min="9218" max="9218" width="5.7109375" customWidth="1"/>
    <col min="9219" max="9219" width="11.85546875" customWidth="1"/>
    <col min="9220" max="9220" width="11.28515625" customWidth="1"/>
    <col min="9221" max="9221" width="2" customWidth="1"/>
    <col min="9222" max="9222" width="13" customWidth="1"/>
    <col min="9223" max="9223" width="9.7109375" customWidth="1"/>
    <col min="9224" max="9224" width="6.28515625" customWidth="1"/>
    <col min="9226" max="9226" width="8.85546875" customWidth="1"/>
    <col min="9227" max="9227" width="4.85546875" customWidth="1"/>
    <col min="9228" max="9228" width="6.140625" customWidth="1"/>
    <col min="9229" max="9229" width="7.140625" customWidth="1"/>
    <col min="9230" max="9230" width="11.85546875" customWidth="1"/>
    <col min="9231" max="9231" width="12.42578125" customWidth="1"/>
    <col min="9232" max="9232" width="2.28515625" customWidth="1"/>
    <col min="9233" max="9233" width="13.7109375" customWidth="1"/>
    <col min="9234" max="9234" width="8.85546875" customWidth="1"/>
    <col min="9462" max="9462" width="11.7109375" customWidth="1"/>
    <col min="9463" max="9463" width="7.85546875" customWidth="1"/>
    <col min="9464" max="9464" width="2.42578125" customWidth="1"/>
    <col min="9465" max="9465" width="4.28515625" customWidth="1"/>
    <col min="9466" max="9466" width="2.28515625" customWidth="1"/>
    <col min="9467" max="9467" width="11.5703125" customWidth="1"/>
    <col min="9469" max="9469" width="2.7109375" customWidth="1"/>
    <col min="9470" max="9470" width="9.28515625" customWidth="1"/>
    <col min="9471" max="9471" width="8.85546875" customWidth="1"/>
    <col min="9472" max="9472" width="7.5703125" customWidth="1"/>
    <col min="9473" max="9473" width="6.140625" customWidth="1"/>
    <col min="9474" max="9474" width="5.7109375" customWidth="1"/>
    <col min="9475" max="9475" width="11.85546875" customWidth="1"/>
    <col min="9476" max="9476" width="11.28515625" customWidth="1"/>
    <col min="9477" max="9477" width="2" customWidth="1"/>
    <col min="9478" max="9478" width="13" customWidth="1"/>
    <col min="9479" max="9479" width="9.7109375" customWidth="1"/>
    <col min="9480" max="9480" width="6.28515625" customWidth="1"/>
    <col min="9482" max="9482" width="8.85546875" customWidth="1"/>
    <col min="9483" max="9483" width="4.85546875" customWidth="1"/>
    <col min="9484" max="9484" width="6.140625" customWidth="1"/>
    <col min="9485" max="9485" width="7.140625" customWidth="1"/>
    <col min="9486" max="9486" width="11.85546875" customWidth="1"/>
    <col min="9487" max="9487" width="12.42578125" customWidth="1"/>
    <col min="9488" max="9488" width="2.28515625" customWidth="1"/>
    <col min="9489" max="9489" width="13.7109375" customWidth="1"/>
    <col min="9490" max="9490" width="8.85546875" customWidth="1"/>
    <col min="9718" max="9718" width="11.7109375" customWidth="1"/>
    <col min="9719" max="9719" width="7.85546875" customWidth="1"/>
    <col min="9720" max="9720" width="2.42578125" customWidth="1"/>
    <col min="9721" max="9721" width="4.28515625" customWidth="1"/>
    <col min="9722" max="9722" width="2.28515625" customWidth="1"/>
    <col min="9723" max="9723" width="11.5703125" customWidth="1"/>
    <col min="9725" max="9725" width="2.7109375" customWidth="1"/>
    <col min="9726" max="9726" width="9.28515625" customWidth="1"/>
    <col min="9727" max="9727" width="8.85546875" customWidth="1"/>
    <col min="9728" max="9728" width="7.5703125" customWidth="1"/>
    <col min="9729" max="9729" width="6.140625" customWidth="1"/>
    <col min="9730" max="9730" width="5.7109375" customWidth="1"/>
    <col min="9731" max="9731" width="11.85546875" customWidth="1"/>
    <col min="9732" max="9732" width="11.28515625" customWidth="1"/>
    <col min="9733" max="9733" width="2" customWidth="1"/>
    <col min="9734" max="9734" width="13" customWidth="1"/>
    <col min="9735" max="9735" width="9.7109375" customWidth="1"/>
    <col min="9736" max="9736" width="6.28515625" customWidth="1"/>
    <col min="9738" max="9738" width="8.85546875" customWidth="1"/>
    <col min="9739" max="9739" width="4.85546875" customWidth="1"/>
    <col min="9740" max="9740" width="6.140625" customWidth="1"/>
    <col min="9741" max="9741" width="7.140625" customWidth="1"/>
    <col min="9742" max="9742" width="11.85546875" customWidth="1"/>
    <col min="9743" max="9743" width="12.42578125" customWidth="1"/>
    <col min="9744" max="9744" width="2.28515625" customWidth="1"/>
    <col min="9745" max="9745" width="13.7109375" customWidth="1"/>
    <col min="9746" max="9746" width="8.85546875" customWidth="1"/>
    <col min="9974" max="9974" width="11.7109375" customWidth="1"/>
    <col min="9975" max="9975" width="7.85546875" customWidth="1"/>
    <col min="9976" max="9976" width="2.42578125" customWidth="1"/>
    <col min="9977" max="9977" width="4.28515625" customWidth="1"/>
    <col min="9978" max="9978" width="2.28515625" customWidth="1"/>
    <col min="9979" max="9979" width="11.5703125" customWidth="1"/>
    <col min="9981" max="9981" width="2.7109375" customWidth="1"/>
    <col min="9982" max="9982" width="9.28515625" customWidth="1"/>
    <col min="9983" max="9983" width="8.85546875" customWidth="1"/>
    <col min="9984" max="9984" width="7.5703125" customWidth="1"/>
    <col min="9985" max="9985" width="6.140625" customWidth="1"/>
    <col min="9986" max="9986" width="5.7109375" customWidth="1"/>
    <col min="9987" max="9987" width="11.85546875" customWidth="1"/>
    <col min="9988" max="9988" width="11.28515625" customWidth="1"/>
    <col min="9989" max="9989" width="2" customWidth="1"/>
    <col min="9990" max="9990" width="13" customWidth="1"/>
    <col min="9991" max="9991" width="9.7109375" customWidth="1"/>
    <col min="9992" max="9992" width="6.28515625" customWidth="1"/>
    <col min="9994" max="9994" width="8.85546875" customWidth="1"/>
    <col min="9995" max="9995" width="4.85546875" customWidth="1"/>
    <col min="9996" max="9996" width="6.140625" customWidth="1"/>
    <col min="9997" max="9997" width="7.140625" customWidth="1"/>
    <col min="9998" max="9998" width="11.85546875" customWidth="1"/>
    <col min="9999" max="9999" width="12.42578125" customWidth="1"/>
    <col min="10000" max="10000" width="2.28515625" customWidth="1"/>
    <col min="10001" max="10001" width="13.7109375" customWidth="1"/>
    <col min="10002" max="10002" width="8.85546875" customWidth="1"/>
    <col min="10230" max="10230" width="11.7109375" customWidth="1"/>
    <col min="10231" max="10231" width="7.85546875" customWidth="1"/>
    <col min="10232" max="10232" width="2.42578125" customWidth="1"/>
    <col min="10233" max="10233" width="4.28515625" customWidth="1"/>
    <col min="10234" max="10234" width="2.28515625" customWidth="1"/>
    <col min="10235" max="10235" width="11.5703125" customWidth="1"/>
    <col min="10237" max="10237" width="2.7109375" customWidth="1"/>
    <col min="10238" max="10238" width="9.28515625" customWidth="1"/>
    <col min="10239" max="10239" width="8.85546875" customWidth="1"/>
    <col min="10240" max="10240" width="7.5703125" customWidth="1"/>
    <col min="10241" max="10241" width="6.140625" customWidth="1"/>
    <col min="10242" max="10242" width="5.7109375" customWidth="1"/>
    <col min="10243" max="10243" width="11.85546875" customWidth="1"/>
    <col min="10244" max="10244" width="11.28515625" customWidth="1"/>
    <col min="10245" max="10245" width="2" customWidth="1"/>
    <col min="10246" max="10246" width="13" customWidth="1"/>
    <col min="10247" max="10247" width="9.7109375" customWidth="1"/>
    <col min="10248" max="10248" width="6.28515625" customWidth="1"/>
    <col min="10250" max="10250" width="8.85546875" customWidth="1"/>
    <col min="10251" max="10251" width="4.85546875" customWidth="1"/>
    <col min="10252" max="10252" width="6.140625" customWidth="1"/>
    <col min="10253" max="10253" width="7.140625" customWidth="1"/>
    <col min="10254" max="10254" width="11.85546875" customWidth="1"/>
    <col min="10255" max="10255" width="12.42578125" customWidth="1"/>
    <col min="10256" max="10256" width="2.28515625" customWidth="1"/>
    <col min="10257" max="10257" width="13.7109375" customWidth="1"/>
    <col min="10258" max="10258" width="8.85546875" customWidth="1"/>
    <col min="10486" max="10486" width="11.7109375" customWidth="1"/>
    <col min="10487" max="10487" width="7.85546875" customWidth="1"/>
    <col min="10488" max="10488" width="2.42578125" customWidth="1"/>
    <col min="10489" max="10489" width="4.28515625" customWidth="1"/>
    <col min="10490" max="10490" width="2.28515625" customWidth="1"/>
    <col min="10491" max="10491" width="11.5703125" customWidth="1"/>
    <col min="10493" max="10493" width="2.7109375" customWidth="1"/>
    <col min="10494" max="10494" width="9.28515625" customWidth="1"/>
    <col min="10495" max="10495" width="8.85546875" customWidth="1"/>
    <col min="10496" max="10496" width="7.5703125" customWidth="1"/>
    <col min="10497" max="10497" width="6.140625" customWidth="1"/>
    <col min="10498" max="10498" width="5.7109375" customWidth="1"/>
    <col min="10499" max="10499" width="11.85546875" customWidth="1"/>
    <col min="10500" max="10500" width="11.28515625" customWidth="1"/>
    <col min="10501" max="10501" width="2" customWidth="1"/>
    <col min="10502" max="10502" width="13" customWidth="1"/>
    <col min="10503" max="10503" width="9.7109375" customWidth="1"/>
    <col min="10504" max="10504" width="6.28515625" customWidth="1"/>
    <col min="10506" max="10506" width="8.85546875" customWidth="1"/>
    <col min="10507" max="10507" width="4.85546875" customWidth="1"/>
    <col min="10508" max="10508" width="6.140625" customWidth="1"/>
    <col min="10509" max="10509" width="7.140625" customWidth="1"/>
    <col min="10510" max="10510" width="11.85546875" customWidth="1"/>
    <col min="10511" max="10511" width="12.42578125" customWidth="1"/>
    <col min="10512" max="10512" width="2.28515625" customWidth="1"/>
    <col min="10513" max="10513" width="13.7109375" customWidth="1"/>
    <col min="10514" max="10514" width="8.85546875" customWidth="1"/>
    <col min="10742" max="10742" width="11.7109375" customWidth="1"/>
    <col min="10743" max="10743" width="7.85546875" customWidth="1"/>
    <col min="10744" max="10744" width="2.42578125" customWidth="1"/>
    <col min="10745" max="10745" width="4.28515625" customWidth="1"/>
    <col min="10746" max="10746" width="2.28515625" customWidth="1"/>
    <col min="10747" max="10747" width="11.5703125" customWidth="1"/>
    <col min="10749" max="10749" width="2.7109375" customWidth="1"/>
    <col min="10750" max="10750" width="9.28515625" customWidth="1"/>
    <col min="10751" max="10751" width="8.85546875" customWidth="1"/>
    <col min="10752" max="10752" width="7.5703125" customWidth="1"/>
    <col min="10753" max="10753" width="6.140625" customWidth="1"/>
    <col min="10754" max="10754" width="5.7109375" customWidth="1"/>
    <col min="10755" max="10755" width="11.85546875" customWidth="1"/>
    <col min="10756" max="10756" width="11.28515625" customWidth="1"/>
    <col min="10757" max="10757" width="2" customWidth="1"/>
    <col min="10758" max="10758" width="13" customWidth="1"/>
    <col min="10759" max="10759" width="9.7109375" customWidth="1"/>
    <col min="10760" max="10760" width="6.28515625" customWidth="1"/>
    <col min="10762" max="10762" width="8.85546875" customWidth="1"/>
    <col min="10763" max="10763" width="4.85546875" customWidth="1"/>
    <col min="10764" max="10764" width="6.140625" customWidth="1"/>
    <col min="10765" max="10765" width="7.140625" customWidth="1"/>
    <col min="10766" max="10766" width="11.85546875" customWidth="1"/>
    <col min="10767" max="10767" width="12.42578125" customWidth="1"/>
    <col min="10768" max="10768" width="2.28515625" customWidth="1"/>
    <col min="10769" max="10769" width="13.7109375" customWidth="1"/>
    <col min="10770" max="10770" width="8.85546875" customWidth="1"/>
    <col min="10998" max="10998" width="11.7109375" customWidth="1"/>
    <col min="10999" max="10999" width="7.85546875" customWidth="1"/>
    <col min="11000" max="11000" width="2.42578125" customWidth="1"/>
    <col min="11001" max="11001" width="4.28515625" customWidth="1"/>
    <col min="11002" max="11002" width="2.28515625" customWidth="1"/>
    <col min="11003" max="11003" width="11.5703125" customWidth="1"/>
    <col min="11005" max="11005" width="2.7109375" customWidth="1"/>
    <col min="11006" max="11006" width="9.28515625" customWidth="1"/>
    <col min="11007" max="11007" width="8.85546875" customWidth="1"/>
    <col min="11008" max="11008" width="7.5703125" customWidth="1"/>
    <col min="11009" max="11009" width="6.140625" customWidth="1"/>
    <col min="11010" max="11010" width="5.7109375" customWidth="1"/>
    <col min="11011" max="11011" width="11.85546875" customWidth="1"/>
    <col min="11012" max="11012" width="11.28515625" customWidth="1"/>
    <col min="11013" max="11013" width="2" customWidth="1"/>
    <col min="11014" max="11014" width="13" customWidth="1"/>
    <col min="11015" max="11015" width="9.7109375" customWidth="1"/>
    <col min="11016" max="11016" width="6.28515625" customWidth="1"/>
    <col min="11018" max="11018" width="8.85546875" customWidth="1"/>
    <col min="11019" max="11019" width="4.85546875" customWidth="1"/>
    <col min="11020" max="11020" width="6.140625" customWidth="1"/>
    <col min="11021" max="11021" width="7.140625" customWidth="1"/>
    <col min="11022" max="11022" width="11.85546875" customWidth="1"/>
    <col min="11023" max="11023" width="12.42578125" customWidth="1"/>
    <col min="11024" max="11024" width="2.28515625" customWidth="1"/>
    <col min="11025" max="11025" width="13.7109375" customWidth="1"/>
    <col min="11026" max="11026" width="8.85546875" customWidth="1"/>
    <col min="11254" max="11254" width="11.7109375" customWidth="1"/>
    <col min="11255" max="11255" width="7.85546875" customWidth="1"/>
    <col min="11256" max="11256" width="2.42578125" customWidth="1"/>
    <col min="11257" max="11257" width="4.28515625" customWidth="1"/>
    <col min="11258" max="11258" width="2.28515625" customWidth="1"/>
    <col min="11259" max="11259" width="11.5703125" customWidth="1"/>
    <col min="11261" max="11261" width="2.7109375" customWidth="1"/>
    <col min="11262" max="11262" width="9.28515625" customWidth="1"/>
    <col min="11263" max="11263" width="8.85546875" customWidth="1"/>
    <col min="11264" max="11264" width="7.5703125" customWidth="1"/>
    <col min="11265" max="11265" width="6.140625" customWidth="1"/>
    <col min="11266" max="11266" width="5.7109375" customWidth="1"/>
    <col min="11267" max="11267" width="11.85546875" customWidth="1"/>
    <col min="11268" max="11268" width="11.28515625" customWidth="1"/>
    <col min="11269" max="11269" width="2" customWidth="1"/>
    <col min="11270" max="11270" width="13" customWidth="1"/>
    <col min="11271" max="11271" width="9.7109375" customWidth="1"/>
    <col min="11272" max="11272" width="6.28515625" customWidth="1"/>
    <col min="11274" max="11274" width="8.85546875" customWidth="1"/>
    <col min="11275" max="11275" width="4.85546875" customWidth="1"/>
    <col min="11276" max="11276" width="6.140625" customWidth="1"/>
    <col min="11277" max="11277" width="7.140625" customWidth="1"/>
    <col min="11278" max="11278" width="11.85546875" customWidth="1"/>
    <col min="11279" max="11279" width="12.42578125" customWidth="1"/>
    <col min="11280" max="11280" width="2.28515625" customWidth="1"/>
    <col min="11281" max="11281" width="13.7109375" customWidth="1"/>
    <col min="11282" max="11282" width="8.85546875" customWidth="1"/>
    <col min="11510" max="11510" width="11.7109375" customWidth="1"/>
    <col min="11511" max="11511" width="7.85546875" customWidth="1"/>
    <col min="11512" max="11512" width="2.42578125" customWidth="1"/>
    <col min="11513" max="11513" width="4.28515625" customWidth="1"/>
    <col min="11514" max="11514" width="2.28515625" customWidth="1"/>
    <col min="11515" max="11515" width="11.5703125" customWidth="1"/>
    <col min="11517" max="11517" width="2.7109375" customWidth="1"/>
    <col min="11518" max="11518" width="9.28515625" customWidth="1"/>
    <col min="11519" max="11519" width="8.85546875" customWidth="1"/>
    <col min="11520" max="11520" width="7.5703125" customWidth="1"/>
    <col min="11521" max="11521" width="6.140625" customWidth="1"/>
    <col min="11522" max="11522" width="5.7109375" customWidth="1"/>
    <col min="11523" max="11523" width="11.85546875" customWidth="1"/>
    <col min="11524" max="11524" width="11.28515625" customWidth="1"/>
    <col min="11525" max="11525" width="2" customWidth="1"/>
    <col min="11526" max="11526" width="13" customWidth="1"/>
    <col min="11527" max="11527" width="9.7109375" customWidth="1"/>
    <col min="11528" max="11528" width="6.28515625" customWidth="1"/>
    <col min="11530" max="11530" width="8.85546875" customWidth="1"/>
    <col min="11531" max="11531" width="4.85546875" customWidth="1"/>
    <col min="11532" max="11532" width="6.140625" customWidth="1"/>
    <col min="11533" max="11533" width="7.140625" customWidth="1"/>
    <col min="11534" max="11534" width="11.85546875" customWidth="1"/>
    <col min="11535" max="11535" width="12.42578125" customWidth="1"/>
    <col min="11536" max="11536" width="2.28515625" customWidth="1"/>
    <col min="11537" max="11537" width="13.7109375" customWidth="1"/>
    <col min="11538" max="11538" width="8.85546875" customWidth="1"/>
    <col min="11766" max="11766" width="11.7109375" customWidth="1"/>
    <col min="11767" max="11767" width="7.85546875" customWidth="1"/>
    <col min="11768" max="11768" width="2.42578125" customWidth="1"/>
    <col min="11769" max="11769" width="4.28515625" customWidth="1"/>
    <col min="11770" max="11770" width="2.28515625" customWidth="1"/>
    <col min="11771" max="11771" width="11.5703125" customWidth="1"/>
    <col min="11773" max="11773" width="2.7109375" customWidth="1"/>
    <col min="11774" max="11774" width="9.28515625" customWidth="1"/>
    <col min="11775" max="11775" width="8.85546875" customWidth="1"/>
    <col min="11776" max="11776" width="7.5703125" customWidth="1"/>
    <col min="11777" max="11777" width="6.140625" customWidth="1"/>
    <col min="11778" max="11778" width="5.7109375" customWidth="1"/>
    <col min="11779" max="11779" width="11.85546875" customWidth="1"/>
    <col min="11780" max="11780" width="11.28515625" customWidth="1"/>
    <col min="11781" max="11781" width="2" customWidth="1"/>
    <col min="11782" max="11782" width="13" customWidth="1"/>
    <col min="11783" max="11783" width="9.7109375" customWidth="1"/>
    <col min="11784" max="11784" width="6.28515625" customWidth="1"/>
    <col min="11786" max="11786" width="8.85546875" customWidth="1"/>
    <col min="11787" max="11787" width="4.85546875" customWidth="1"/>
    <col min="11788" max="11788" width="6.140625" customWidth="1"/>
    <col min="11789" max="11789" width="7.140625" customWidth="1"/>
    <col min="11790" max="11790" width="11.85546875" customWidth="1"/>
    <col min="11791" max="11791" width="12.42578125" customWidth="1"/>
    <col min="11792" max="11792" width="2.28515625" customWidth="1"/>
    <col min="11793" max="11793" width="13.7109375" customWidth="1"/>
    <col min="11794" max="11794" width="8.85546875" customWidth="1"/>
    <col min="12022" max="12022" width="11.7109375" customWidth="1"/>
    <col min="12023" max="12023" width="7.85546875" customWidth="1"/>
    <col min="12024" max="12024" width="2.42578125" customWidth="1"/>
    <col min="12025" max="12025" width="4.28515625" customWidth="1"/>
    <col min="12026" max="12026" width="2.28515625" customWidth="1"/>
    <col min="12027" max="12027" width="11.5703125" customWidth="1"/>
    <col min="12029" max="12029" width="2.7109375" customWidth="1"/>
    <col min="12030" max="12030" width="9.28515625" customWidth="1"/>
    <col min="12031" max="12031" width="8.85546875" customWidth="1"/>
    <col min="12032" max="12032" width="7.5703125" customWidth="1"/>
    <col min="12033" max="12033" width="6.140625" customWidth="1"/>
    <col min="12034" max="12034" width="5.7109375" customWidth="1"/>
    <col min="12035" max="12035" width="11.85546875" customWidth="1"/>
    <col min="12036" max="12036" width="11.28515625" customWidth="1"/>
    <col min="12037" max="12037" width="2" customWidth="1"/>
    <col min="12038" max="12038" width="13" customWidth="1"/>
    <col min="12039" max="12039" width="9.7109375" customWidth="1"/>
    <col min="12040" max="12040" width="6.28515625" customWidth="1"/>
    <col min="12042" max="12042" width="8.85546875" customWidth="1"/>
    <col min="12043" max="12043" width="4.85546875" customWidth="1"/>
    <col min="12044" max="12044" width="6.140625" customWidth="1"/>
    <col min="12045" max="12045" width="7.140625" customWidth="1"/>
    <col min="12046" max="12046" width="11.85546875" customWidth="1"/>
    <col min="12047" max="12047" width="12.42578125" customWidth="1"/>
    <col min="12048" max="12048" width="2.28515625" customWidth="1"/>
    <col min="12049" max="12049" width="13.7109375" customWidth="1"/>
    <col min="12050" max="12050" width="8.85546875" customWidth="1"/>
    <col min="12278" max="12278" width="11.7109375" customWidth="1"/>
    <col min="12279" max="12279" width="7.85546875" customWidth="1"/>
    <col min="12280" max="12280" width="2.42578125" customWidth="1"/>
    <col min="12281" max="12281" width="4.28515625" customWidth="1"/>
    <col min="12282" max="12282" width="2.28515625" customWidth="1"/>
    <col min="12283" max="12283" width="11.5703125" customWidth="1"/>
    <col min="12285" max="12285" width="2.7109375" customWidth="1"/>
    <col min="12286" max="12286" width="9.28515625" customWidth="1"/>
    <col min="12287" max="12287" width="8.85546875" customWidth="1"/>
    <col min="12288" max="12288" width="7.5703125" customWidth="1"/>
    <col min="12289" max="12289" width="6.140625" customWidth="1"/>
    <col min="12290" max="12290" width="5.7109375" customWidth="1"/>
    <col min="12291" max="12291" width="11.85546875" customWidth="1"/>
    <col min="12292" max="12292" width="11.28515625" customWidth="1"/>
    <col min="12293" max="12293" width="2" customWidth="1"/>
    <col min="12294" max="12294" width="13" customWidth="1"/>
    <col min="12295" max="12295" width="9.7109375" customWidth="1"/>
    <col min="12296" max="12296" width="6.28515625" customWidth="1"/>
    <col min="12298" max="12298" width="8.85546875" customWidth="1"/>
    <col min="12299" max="12299" width="4.85546875" customWidth="1"/>
    <col min="12300" max="12300" width="6.140625" customWidth="1"/>
    <col min="12301" max="12301" width="7.140625" customWidth="1"/>
    <col min="12302" max="12302" width="11.85546875" customWidth="1"/>
    <col min="12303" max="12303" width="12.42578125" customWidth="1"/>
    <col min="12304" max="12304" width="2.28515625" customWidth="1"/>
    <col min="12305" max="12305" width="13.7109375" customWidth="1"/>
    <col min="12306" max="12306" width="8.85546875" customWidth="1"/>
    <col min="12534" max="12534" width="11.7109375" customWidth="1"/>
    <col min="12535" max="12535" width="7.85546875" customWidth="1"/>
    <col min="12536" max="12536" width="2.42578125" customWidth="1"/>
    <col min="12537" max="12537" width="4.28515625" customWidth="1"/>
    <col min="12538" max="12538" width="2.28515625" customWidth="1"/>
    <col min="12539" max="12539" width="11.5703125" customWidth="1"/>
    <col min="12541" max="12541" width="2.7109375" customWidth="1"/>
    <col min="12542" max="12542" width="9.28515625" customWidth="1"/>
    <col min="12543" max="12543" width="8.85546875" customWidth="1"/>
    <col min="12544" max="12544" width="7.5703125" customWidth="1"/>
    <col min="12545" max="12545" width="6.140625" customWidth="1"/>
    <col min="12546" max="12546" width="5.7109375" customWidth="1"/>
    <col min="12547" max="12547" width="11.85546875" customWidth="1"/>
    <col min="12548" max="12548" width="11.28515625" customWidth="1"/>
    <col min="12549" max="12549" width="2" customWidth="1"/>
    <col min="12550" max="12550" width="13" customWidth="1"/>
    <col min="12551" max="12551" width="9.7109375" customWidth="1"/>
    <col min="12552" max="12552" width="6.28515625" customWidth="1"/>
    <col min="12554" max="12554" width="8.85546875" customWidth="1"/>
    <col min="12555" max="12555" width="4.85546875" customWidth="1"/>
    <col min="12556" max="12556" width="6.140625" customWidth="1"/>
    <col min="12557" max="12557" width="7.140625" customWidth="1"/>
    <col min="12558" max="12558" width="11.85546875" customWidth="1"/>
    <col min="12559" max="12559" width="12.42578125" customWidth="1"/>
    <col min="12560" max="12560" width="2.28515625" customWidth="1"/>
    <col min="12561" max="12561" width="13.7109375" customWidth="1"/>
    <col min="12562" max="12562" width="8.85546875" customWidth="1"/>
    <col min="12790" max="12790" width="11.7109375" customWidth="1"/>
    <col min="12791" max="12791" width="7.85546875" customWidth="1"/>
    <col min="12792" max="12792" width="2.42578125" customWidth="1"/>
    <col min="12793" max="12793" width="4.28515625" customWidth="1"/>
    <col min="12794" max="12794" width="2.28515625" customWidth="1"/>
    <col min="12795" max="12795" width="11.5703125" customWidth="1"/>
    <col min="12797" max="12797" width="2.7109375" customWidth="1"/>
    <col min="12798" max="12798" width="9.28515625" customWidth="1"/>
    <col min="12799" max="12799" width="8.85546875" customWidth="1"/>
    <col min="12800" max="12800" width="7.5703125" customWidth="1"/>
    <col min="12801" max="12801" width="6.140625" customWidth="1"/>
    <col min="12802" max="12802" width="5.7109375" customWidth="1"/>
    <col min="12803" max="12803" width="11.85546875" customWidth="1"/>
    <col min="12804" max="12804" width="11.28515625" customWidth="1"/>
    <col min="12805" max="12805" width="2" customWidth="1"/>
    <col min="12806" max="12806" width="13" customWidth="1"/>
    <col min="12807" max="12807" width="9.7109375" customWidth="1"/>
    <col min="12808" max="12808" width="6.28515625" customWidth="1"/>
    <col min="12810" max="12810" width="8.85546875" customWidth="1"/>
    <col min="12811" max="12811" width="4.85546875" customWidth="1"/>
    <col min="12812" max="12812" width="6.140625" customWidth="1"/>
    <col min="12813" max="12813" width="7.140625" customWidth="1"/>
    <col min="12814" max="12814" width="11.85546875" customWidth="1"/>
    <col min="12815" max="12815" width="12.42578125" customWidth="1"/>
    <col min="12816" max="12816" width="2.28515625" customWidth="1"/>
    <col min="12817" max="12817" width="13.7109375" customWidth="1"/>
    <col min="12818" max="12818" width="8.85546875" customWidth="1"/>
    <col min="13046" max="13046" width="11.7109375" customWidth="1"/>
    <col min="13047" max="13047" width="7.85546875" customWidth="1"/>
    <col min="13048" max="13048" width="2.42578125" customWidth="1"/>
    <col min="13049" max="13049" width="4.28515625" customWidth="1"/>
    <col min="13050" max="13050" width="2.28515625" customWidth="1"/>
    <col min="13051" max="13051" width="11.5703125" customWidth="1"/>
    <col min="13053" max="13053" width="2.7109375" customWidth="1"/>
    <col min="13054" max="13054" width="9.28515625" customWidth="1"/>
    <col min="13055" max="13055" width="8.85546875" customWidth="1"/>
    <col min="13056" max="13056" width="7.5703125" customWidth="1"/>
    <col min="13057" max="13057" width="6.140625" customWidth="1"/>
    <col min="13058" max="13058" width="5.7109375" customWidth="1"/>
    <col min="13059" max="13059" width="11.85546875" customWidth="1"/>
    <col min="13060" max="13060" width="11.28515625" customWidth="1"/>
    <col min="13061" max="13061" width="2" customWidth="1"/>
    <col min="13062" max="13062" width="13" customWidth="1"/>
    <col min="13063" max="13063" width="9.7109375" customWidth="1"/>
    <col min="13064" max="13064" width="6.28515625" customWidth="1"/>
    <col min="13066" max="13066" width="8.85546875" customWidth="1"/>
    <col min="13067" max="13067" width="4.85546875" customWidth="1"/>
    <col min="13068" max="13068" width="6.140625" customWidth="1"/>
    <col min="13069" max="13069" width="7.140625" customWidth="1"/>
    <col min="13070" max="13070" width="11.85546875" customWidth="1"/>
    <col min="13071" max="13071" width="12.42578125" customWidth="1"/>
    <col min="13072" max="13072" width="2.28515625" customWidth="1"/>
    <col min="13073" max="13073" width="13.7109375" customWidth="1"/>
    <col min="13074" max="13074" width="8.85546875" customWidth="1"/>
    <col min="13302" max="13302" width="11.7109375" customWidth="1"/>
    <col min="13303" max="13303" width="7.85546875" customWidth="1"/>
    <col min="13304" max="13304" width="2.42578125" customWidth="1"/>
    <col min="13305" max="13305" width="4.28515625" customWidth="1"/>
    <col min="13306" max="13306" width="2.28515625" customWidth="1"/>
    <col min="13307" max="13307" width="11.5703125" customWidth="1"/>
    <col min="13309" max="13309" width="2.7109375" customWidth="1"/>
    <col min="13310" max="13310" width="9.28515625" customWidth="1"/>
    <col min="13311" max="13311" width="8.85546875" customWidth="1"/>
    <col min="13312" max="13312" width="7.5703125" customWidth="1"/>
    <col min="13313" max="13313" width="6.140625" customWidth="1"/>
    <col min="13314" max="13314" width="5.7109375" customWidth="1"/>
    <col min="13315" max="13315" width="11.85546875" customWidth="1"/>
    <col min="13316" max="13316" width="11.28515625" customWidth="1"/>
    <col min="13317" max="13317" width="2" customWidth="1"/>
    <col min="13318" max="13318" width="13" customWidth="1"/>
    <col min="13319" max="13319" width="9.7109375" customWidth="1"/>
    <col min="13320" max="13320" width="6.28515625" customWidth="1"/>
    <col min="13322" max="13322" width="8.85546875" customWidth="1"/>
    <col min="13323" max="13323" width="4.85546875" customWidth="1"/>
    <col min="13324" max="13324" width="6.140625" customWidth="1"/>
    <col min="13325" max="13325" width="7.140625" customWidth="1"/>
    <col min="13326" max="13326" width="11.85546875" customWidth="1"/>
    <col min="13327" max="13327" width="12.42578125" customWidth="1"/>
    <col min="13328" max="13328" width="2.28515625" customWidth="1"/>
    <col min="13329" max="13329" width="13.7109375" customWidth="1"/>
    <col min="13330" max="13330" width="8.85546875" customWidth="1"/>
    <col min="13558" max="13558" width="11.7109375" customWidth="1"/>
    <col min="13559" max="13559" width="7.85546875" customWidth="1"/>
    <col min="13560" max="13560" width="2.42578125" customWidth="1"/>
    <col min="13561" max="13561" width="4.28515625" customWidth="1"/>
    <col min="13562" max="13562" width="2.28515625" customWidth="1"/>
    <col min="13563" max="13563" width="11.5703125" customWidth="1"/>
    <col min="13565" max="13565" width="2.7109375" customWidth="1"/>
    <col min="13566" max="13566" width="9.28515625" customWidth="1"/>
    <col min="13567" max="13567" width="8.85546875" customWidth="1"/>
    <col min="13568" max="13568" width="7.5703125" customWidth="1"/>
    <col min="13569" max="13569" width="6.140625" customWidth="1"/>
    <col min="13570" max="13570" width="5.7109375" customWidth="1"/>
    <col min="13571" max="13571" width="11.85546875" customWidth="1"/>
    <col min="13572" max="13572" width="11.28515625" customWidth="1"/>
    <col min="13573" max="13573" width="2" customWidth="1"/>
    <col min="13574" max="13574" width="13" customWidth="1"/>
    <col min="13575" max="13575" width="9.7109375" customWidth="1"/>
    <col min="13576" max="13576" width="6.28515625" customWidth="1"/>
    <col min="13578" max="13578" width="8.85546875" customWidth="1"/>
    <col min="13579" max="13579" width="4.85546875" customWidth="1"/>
    <col min="13580" max="13580" width="6.140625" customWidth="1"/>
    <col min="13581" max="13581" width="7.140625" customWidth="1"/>
    <col min="13582" max="13582" width="11.85546875" customWidth="1"/>
    <col min="13583" max="13583" width="12.42578125" customWidth="1"/>
    <col min="13584" max="13584" width="2.28515625" customWidth="1"/>
    <col min="13585" max="13585" width="13.7109375" customWidth="1"/>
    <col min="13586" max="13586" width="8.85546875" customWidth="1"/>
    <col min="13814" max="13814" width="11.7109375" customWidth="1"/>
    <col min="13815" max="13815" width="7.85546875" customWidth="1"/>
    <col min="13816" max="13816" width="2.42578125" customWidth="1"/>
    <col min="13817" max="13817" width="4.28515625" customWidth="1"/>
    <col min="13818" max="13818" width="2.28515625" customWidth="1"/>
    <col min="13819" max="13819" width="11.5703125" customWidth="1"/>
    <col min="13821" max="13821" width="2.7109375" customWidth="1"/>
    <col min="13822" max="13822" width="9.28515625" customWidth="1"/>
    <col min="13823" max="13823" width="8.85546875" customWidth="1"/>
    <col min="13824" max="13824" width="7.5703125" customWidth="1"/>
    <col min="13825" max="13825" width="6.140625" customWidth="1"/>
    <col min="13826" max="13826" width="5.7109375" customWidth="1"/>
    <col min="13827" max="13827" width="11.85546875" customWidth="1"/>
    <col min="13828" max="13828" width="11.28515625" customWidth="1"/>
    <col min="13829" max="13829" width="2" customWidth="1"/>
    <col min="13830" max="13830" width="13" customWidth="1"/>
    <col min="13831" max="13831" width="9.7109375" customWidth="1"/>
    <col min="13832" max="13832" width="6.28515625" customWidth="1"/>
    <col min="13834" max="13834" width="8.85546875" customWidth="1"/>
    <col min="13835" max="13835" width="4.85546875" customWidth="1"/>
    <col min="13836" max="13836" width="6.140625" customWidth="1"/>
    <col min="13837" max="13837" width="7.140625" customWidth="1"/>
    <col min="13838" max="13838" width="11.85546875" customWidth="1"/>
    <col min="13839" max="13839" width="12.42578125" customWidth="1"/>
    <col min="13840" max="13840" width="2.28515625" customWidth="1"/>
    <col min="13841" max="13841" width="13.7109375" customWidth="1"/>
    <col min="13842" max="13842" width="8.85546875" customWidth="1"/>
    <col min="14070" max="14070" width="11.7109375" customWidth="1"/>
    <col min="14071" max="14071" width="7.85546875" customWidth="1"/>
    <col min="14072" max="14072" width="2.42578125" customWidth="1"/>
    <col min="14073" max="14073" width="4.28515625" customWidth="1"/>
    <col min="14074" max="14074" width="2.28515625" customWidth="1"/>
    <col min="14075" max="14075" width="11.5703125" customWidth="1"/>
    <col min="14077" max="14077" width="2.7109375" customWidth="1"/>
    <col min="14078" max="14078" width="9.28515625" customWidth="1"/>
    <col min="14079" max="14079" width="8.85546875" customWidth="1"/>
    <col min="14080" max="14080" width="7.5703125" customWidth="1"/>
    <col min="14081" max="14081" width="6.140625" customWidth="1"/>
    <col min="14082" max="14082" width="5.7109375" customWidth="1"/>
    <col min="14083" max="14083" width="11.85546875" customWidth="1"/>
    <col min="14084" max="14084" width="11.28515625" customWidth="1"/>
    <col min="14085" max="14085" width="2" customWidth="1"/>
    <col min="14086" max="14086" width="13" customWidth="1"/>
    <col min="14087" max="14087" width="9.7109375" customWidth="1"/>
    <col min="14088" max="14088" width="6.28515625" customWidth="1"/>
    <col min="14090" max="14090" width="8.85546875" customWidth="1"/>
    <col min="14091" max="14091" width="4.85546875" customWidth="1"/>
    <col min="14092" max="14092" width="6.140625" customWidth="1"/>
    <col min="14093" max="14093" width="7.140625" customWidth="1"/>
    <col min="14094" max="14094" width="11.85546875" customWidth="1"/>
    <col min="14095" max="14095" width="12.42578125" customWidth="1"/>
    <col min="14096" max="14096" width="2.28515625" customWidth="1"/>
    <col min="14097" max="14097" width="13.7109375" customWidth="1"/>
    <col min="14098" max="14098" width="8.85546875" customWidth="1"/>
    <col min="14326" max="14326" width="11.7109375" customWidth="1"/>
    <col min="14327" max="14327" width="7.85546875" customWidth="1"/>
    <col min="14328" max="14328" width="2.42578125" customWidth="1"/>
    <col min="14329" max="14329" width="4.28515625" customWidth="1"/>
    <col min="14330" max="14330" width="2.28515625" customWidth="1"/>
    <col min="14331" max="14331" width="11.5703125" customWidth="1"/>
    <col min="14333" max="14333" width="2.7109375" customWidth="1"/>
    <col min="14334" max="14334" width="9.28515625" customWidth="1"/>
    <col min="14335" max="14335" width="8.85546875" customWidth="1"/>
    <col min="14336" max="14336" width="7.5703125" customWidth="1"/>
    <col min="14337" max="14337" width="6.140625" customWidth="1"/>
    <col min="14338" max="14338" width="5.7109375" customWidth="1"/>
    <col min="14339" max="14339" width="11.85546875" customWidth="1"/>
    <col min="14340" max="14340" width="11.28515625" customWidth="1"/>
    <col min="14341" max="14341" width="2" customWidth="1"/>
    <col min="14342" max="14342" width="13" customWidth="1"/>
    <col min="14343" max="14343" width="9.7109375" customWidth="1"/>
    <col min="14344" max="14344" width="6.28515625" customWidth="1"/>
    <col min="14346" max="14346" width="8.85546875" customWidth="1"/>
    <col min="14347" max="14347" width="4.85546875" customWidth="1"/>
    <col min="14348" max="14348" width="6.140625" customWidth="1"/>
    <col min="14349" max="14349" width="7.140625" customWidth="1"/>
    <col min="14350" max="14350" width="11.85546875" customWidth="1"/>
    <col min="14351" max="14351" width="12.42578125" customWidth="1"/>
    <col min="14352" max="14352" width="2.28515625" customWidth="1"/>
    <col min="14353" max="14353" width="13.7109375" customWidth="1"/>
    <col min="14354" max="14354" width="8.85546875" customWidth="1"/>
    <col min="14582" max="14582" width="11.7109375" customWidth="1"/>
    <col min="14583" max="14583" width="7.85546875" customWidth="1"/>
    <col min="14584" max="14584" width="2.42578125" customWidth="1"/>
    <col min="14585" max="14585" width="4.28515625" customWidth="1"/>
    <col min="14586" max="14586" width="2.28515625" customWidth="1"/>
    <col min="14587" max="14587" width="11.5703125" customWidth="1"/>
    <col min="14589" max="14589" width="2.7109375" customWidth="1"/>
    <col min="14590" max="14590" width="9.28515625" customWidth="1"/>
    <col min="14591" max="14591" width="8.85546875" customWidth="1"/>
    <col min="14592" max="14592" width="7.5703125" customWidth="1"/>
    <col min="14593" max="14593" width="6.140625" customWidth="1"/>
    <col min="14594" max="14594" width="5.7109375" customWidth="1"/>
    <col min="14595" max="14595" width="11.85546875" customWidth="1"/>
    <col min="14596" max="14596" width="11.28515625" customWidth="1"/>
    <col min="14597" max="14597" width="2" customWidth="1"/>
    <col min="14598" max="14598" width="13" customWidth="1"/>
    <col min="14599" max="14599" width="9.7109375" customWidth="1"/>
    <col min="14600" max="14600" width="6.28515625" customWidth="1"/>
    <col min="14602" max="14602" width="8.85546875" customWidth="1"/>
    <col min="14603" max="14603" width="4.85546875" customWidth="1"/>
    <col min="14604" max="14604" width="6.140625" customWidth="1"/>
    <col min="14605" max="14605" width="7.140625" customWidth="1"/>
    <col min="14606" max="14606" width="11.85546875" customWidth="1"/>
    <col min="14607" max="14607" width="12.42578125" customWidth="1"/>
    <col min="14608" max="14608" width="2.28515625" customWidth="1"/>
    <col min="14609" max="14609" width="13.7109375" customWidth="1"/>
    <col min="14610" max="14610" width="8.85546875" customWidth="1"/>
    <col min="14838" max="14838" width="11.7109375" customWidth="1"/>
    <col min="14839" max="14839" width="7.85546875" customWidth="1"/>
    <col min="14840" max="14840" width="2.42578125" customWidth="1"/>
    <col min="14841" max="14841" width="4.28515625" customWidth="1"/>
    <col min="14842" max="14842" width="2.28515625" customWidth="1"/>
    <col min="14843" max="14843" width="11.5703125" customWidth="1"/>
    <col min="14845" max="14845" width="2.7109375" customWidth="1"/>
    <col min="14846" max="14846" width="9.28515625" customWidth="1"/>
    <col min="14847" max="14847" width="8.85546875" customWidth="1"/>
    <col min="14848" max="14848" width="7.5703125" customWidth="1"/>
    <col min="14849" max="14849" width="6.140625" customWidth="1"/>
    <col min="14850" max="14850" width="5.7109375" customWidth="1"/>
    <col min="14851" max="14851" width="11.85546875" customWidth="1"/>
    <col min="14852" max="14852" width="11.28515625" customWidth="1"/>
    <col min="14853" max="14853" width="2" customWidth="1"/>
    <col min="14854" max="14854" width="13" customWidth="1"/>
    <col min="14855" max="14855" width="9.7109375" customWidth="1"/>
    <col min="14856" max="14856" width="6.28515625" customWidth="1"/>
    <col min="14858" max="14858" width="8.85546875" customWidth="1"/>
    <col min="14859" max="14859" width="4.85546875" customWidth="1"/>
    <col min="14860" max="14860" width="6.140625" customWidth="1"/>
    <col min="14861" max="14861" width="7.140625" customWidth="1"/>
    <col min="14862" max="14862" width="11.85546875" customWidth="1"/>
    <col min="14863" max="14863" width="12.42578125" customWidth="1"/>
    <col min="14864" max="14864" width="2.28515625" customWidth="1"/>
    <col min="14865" max="14865" width="13.7109375" customWidth="1"/>
    <col min="14866" max="14866" width="8.85546875" customWidth="1"/>
    <col min="15094" max="15094" width="11.7109375" customWidth="1"/>
    <col min="15095" max="15095" width="7.85546875" customWidth="1"/>
    <col min="15096" max="15096" width="2.42578125" customWidth="1"/>
    <col min="15097" max="15097" width="4.28515625" customWidth="1"/>
    <col min="15098" max="15098" width="2.28515625" customWidth="1"/>
    <col min="15099" max="15099" width="11.5703125" customWidth="1"/>
    <col min="15101" max="15101" width="2.7109375" customWidth="1"/>
    <col min="15102" max="15102" width="9.28515625" customWidth="1"/>
    <col min="15103" max="15103" width="8.85546875" customWidth="1"/>
    <col min="15104" max="15104" width="7.5703125" customWidth="1"/>
    <col min="15105" max="15105" width="6.140625" customWidth="1"/>
    <col min="15106" max="15106" width="5.7109375" customWidth="1"/>
    <col min="15107" max="15107" width="11.85546875" customWidth="1"/>
    <col min="15108" max="15108" width="11.28515625" customWidth="1"/>
    <col min="15109" max="15109" width="2" customWidth="1"/>
    <col min="15110" max="15110" width="13" customWidth="1"/>
    <col min="15111" max="15111" width="9.7109375" customWidth="1"/>
    <col min="15112" max="15112" width="6.28515625" customWidth="1"/>
    <col min="15114" max="15114" width="8.85546875" customWidth="1"/>
    <col min="15115" max="15115" width="4.85546875" customWidth="1"/>
    <col min="15116" max="15116" width="6.140625" customWidth="1"/>
    <col min="15117" max="15117" width="7.140625" customWidth="1"/>
    <col min="15118" max="15118" width="11.85546875" customWidth="1"/>
    <col min="15119" max="15119" width="12.42578125" customWidth="1"/>
    <col min="15120" max="15120" width="2.28515625" customWidth="1"/>
    <col min="15121" max="15121" width="13.7109375" customWidth="1"/>
    <col min="15122" max="15122" width="8.85546875" customWidth="1"/>
    <col min="15350" max="15350" width="11.7109375" customWidth="1"/>
    <col min="15351" max="15351" width="7.85546875" customWidth="1"/>
    <col min="15352" max="15352" width="2.42578125" customWidth="1"/>
    <col min="15353" max="15353" width="4.28515625" customWidth="1"/>
    <col min="15354" max="15354" width="2.28515625" customWidth="1"/>
    <col min="15355" max="15355" width="11.5703125" customWidth="1"/>
    <col min="15357" max="15357" width="2.7109375" customWidth="1"/>
    <col min="15358" max="15358" width="9.28515625" customWidth="1"/>
    <col min="15359" max="15359" width="8.85546875" customWidth="1"/>
    <col min="15360" max="15360" width="7.5703125" customWidth="1"/>
    <col min="15361" max="15361" width="6.140625" customWidth="1"/>
    <col min="15362" max="15362" width="5.7109375" customWidth="1"/>
    <col min="15363" max="15363" width="11.85546875" customWidth="1"/>
    <col min="15364" max="15364" width="11.28515625" customWidth="1"/>
    <col min="15365" max="15365" width="2" customWidth="1"/>
    <col min="15366" max="15366" width="13" customWidth="1"/>
    <col min="15367" max="15367" width="9.7109375" customWidth="1"/>
    <col min="15368" max="15368" width="6.28515625" customWidth="1"/>
    <col min="15370" max="15370" width="8.85546875" customWidth="1"/>
    <col min="15371" max="15371" width="4.85546875" customWidth="1"/>
    <col min="15372" max="15372" width="6.140625" customWidth="1"/>
    <col min="15373" max="15373" width="7.140625" customWidth="1"/>
    <col min="15374" max="15374" width="11.85546875" customWidth="1"/>
    <col min="15375" max="15375" width="12.42578125" customWidth="1"/>
    <col min="15376" max="15376" width="2.28515625" customWidth="1"/>
    <col min="15377" max="15377" width="13.7109375" customWidth="1"/>
    <col min="15378" max="15378" width="8.85546875" customWidth="1"/>
    <col min="15606" max="15606" width="11.7109375" customWidth="1"/>
    <col min="15607" max="15607" width="7.85546875" customWidth="1"/>
    <col min="15608" max="15608" width="2.42578125" customWidth="1"/>
    <col min="15609" max="15609" width="4.28515625" customWidth="1"/>
    <col min="15610" max="15610" width="2.28515625" customWidth="1"/>
    <col min="15611" max="15611" width="11.5703125" customWidth="1"/>
    <col min="15613" max="15613" width="2.7109375" customWidth="1"/>
    <col min="15614" max="15614" width="9.28515625" customWidth="1"/>
    <col min="15615" max="15615" width="8.85546875" customWidth="1"/>
    <col min="15616" max="15616" width="7.5703125" customWidth="1"/>
    <col min="15617" max="15617" width="6.140625" customWidth="1"/>
    <col min="15618" max="15618" width="5.7109375" customWidth="1"/>
    <col min="15619" max="15619" width="11.85546875" customWidth="1"/>
    <col min="15620" max="15620" width="11.28515625" customWidth="1"/>
    <col min="15621" max="15621" width="2" customWidth="1"/>
    <col min="15622" max="15622" width="13" customWidth="1"/>
    <col min="15623" max="15623" width="9.7109375" customWidth="1"/>
    <col min="15624" max="15624" width="6.28515625" customWidth="1"/>
    <col min="15626" max="15626" width="8.85546875" customWidth="1"/>
    <col min="15627" max="15627" width="4.85546875" customWidth="1"/>
    <col min="15628" max="15628" width="6.140625" customWidth="1"/>
    <col min="15629" max="15629" width="7.140625" customWidth="1"/>
    <col min="15630" max="15630" width="11.85546875" customWidth="1"/>
    <col min="15631" max="15631" width="12.42578125" customWidth="1"/>
    <col min="15632" max="15632" width="2.28515625" customWidth="1"/>
    <col min="15633" max="15633" width="13.7109375" customWidth="1"/>
    <col min="15634" max="15634" width="8.85546875" customWidth="1"/>
    <col min="15862" max="15862" width="11.7109375" customWidth="1"/>
    <col min="15863" max="15863" width="7.85546875" customWidth="1"/>
    <col min="15864" max="15864" width="2.42578125" customWidth="1"/>
    <col min="15865" max="15865" width="4.28515625" customWidth="1"/>
    <col min="15866" max="15866" width="2.28515625" customWidth="1"/>
    <col min="15867" max="15867" width="11.5703125" customWidth="1"/>
    <col min="15869" max="15869" width="2.7109375" customWidth="1"/>
    <col min="15870" max="15870" width="9.28515625" customWidth="1"/>
    <col min="15871" max="15871" width="8.85546875" customWidth="1"/>
    <col min="15872" max="15872" width="7.5703125" customWidth="1"/>
    <col min="15873" max="15873" width="6.140625" customWidth="1"/>
    <col min="15874" max="15874" width="5.7109375" customWidth="1"/>
    <col min="15875" max="15875" width="11.85546875" customWidth="1"/>
    <col min="15876" max="15876" width="11.28515625" customWidth="1"/>
    <col min="15877" max="15877" width="2" customWidth="1"/>
    <col min="15878" max="15878" width="13" customWidth="1"/>
    <col min="15879" max="15879" width="9.7109375" customWidth="1"/>
    <col min="15880" max="15880" width="6.28515625" customWidth="1"/>
    <col min="15882" max="15882" width="8.85546875" customWidth="1"/>
    <col min="15883" max="15883" width="4.85546875" customWidth="1"/>
    <col min="15884" max="15884" width="6.140625" customWidth="1"/>
    <col min="15885" max="15885" width="7.140625" customWidth="1"/>
    <col min="15886" max="15886" width="11.85546875" customWidth="1"/>
    <col min="15887" max="15887" width="12.42578125" customWidth="1"/>
    <col min="15888" max="15888" width="2.28515625" customWidth="1"/>
    <col min="15889" max="15889" width="13.7109375" customWidth="1"/>
    <col min="15890" max="15890" width="8.85546875" customWidth="1"/>
    <col min="16118" max="16118" width="11.7109375" customWidth="1"/>
    <col min="16119" max="16119" width="7.85546875" customWidth="1"/>
    <col min="16120" max="16120" width="2.42578125" customWidth="1"/>
    <col min="16121" max="16121" width="4.28515625" customWidth="1"/>
    <col min="16122" max="16122" width="2.28515625" customWidth="1"/>
    <col min="16123" max="16123" width="11.5703125" customWidth="1"/>
    <col min="16125" max="16125" width="2.7109375" customWidth="1"/>
    <col min="16126" max="16126" width="9.28515625" customWidth="1"/>
    <col min="16127" max="16127" width="8.85546875" customWidth="1"/>
    <col min="16128" max="16128" width="7.5703125" customWidth="1"/>
    <col min="16129" max="16129" width="6.140625" customWidth="1"/>
    <col min="16130" max="16130" width="5.7109375" customWidth="1"/>
    <col min="16131" max="16131" width="11.85546875" customWidth="1"/>
    <col min="16132" max="16132" width="11.28515625" customWidth="1"/>
    <col min="16133" max="16133" width="2" customWidth="1"/>
    <col min="16134" max="16134" width="13" customWidth="1"/>
    <col min="16135" max="16135" width="9.7109375" customWidth="1"/>
    <col min="16136" max="16136" width="6.28515625" customWidth="1"/>
    <col min="16138" max="16138" width="8.85546875" customWidth="1"/>
    <col min="16139" max="16139" width="4.85546875" customWidth="1"/>
    <col min="16140" max="16140" width="6.140625" customWidth="1"/>
    <col min="16141" max="16141" width="7.140625" customWidth="1"/>
    <col min="16142" max="16142" width="11.85546875" customWidth="1"/>
    <col min="16143" max="16143" width="12.42578125" customWidth="1"/>
    <col min="16144" max="16144" width="2.28515625" customWidth="1"/>
    <col min="16145" max="16145" width="13.7109375" customWidth="1"/>
    <col min="16146" max="16146" width="8.85546875" customWidth="1"/>
  </cols>
  <sheetData>
    <row r="1" spans="1:18" ht="25.5" customHeight="1">
      <c r="A1" t="s">
        <v>24</v>
      </c>
      <c r="B1">
        <v>11</v>
      </c>
      <c r="C1" s="164" t="s">
        <v>113</v>
      </c>
      <c r="D1" s="21" t="str">
        <f>+'Worksheet 2'!$W$4</f>
        <v>Windcrest WO#J5121027-00234.01</v>
      </c>
      <c r="E1" s="22"/>
      <c r="F1" s="23"/>
      <c r="G1" s="22"/>
      <c r="H1" s="24"/>
      <c r="I1" s="25">
        <f>+'Worksheet 2'!$AR$1</f>
        <v>0</v>
      </c>
      <c r="J1" s="26"/>
      <c r="L1" s="164" t="s">
        <v>113</v>
      </c>
      <c r="M1" s="21" t="str">
        <f>+'Worksheet 2'!$W$4</f>
        <v>Windcrest WO#J5121027-00234.01</v>
      </c>
      <c r="N1" s="22"/>
      <c r="O1" s="23"/>
      <c r="P1" s="22"/>
      <c r="Q1" s="24"/>
      <c r="R1" s="25">
        <f>+'Worksheet 2'!$AR$1</f>
        <v>0</v>
      </c>
    </row>
    <row r="2" spans="1:18" ht="33" customHeight="1">
      <c r="C2" s="165" t="s">
        <v>128</v>
      </c>
      <c r="D2" s="150" cm="1">
        <f t="array" aca="1" ref="D2" ca="1">INDIRECT("'Worksheet 2'!$K"&amp;$B1)</f>
        <v>60</v>
      </c>
      <c r="E2" s="151" t="s">
        <v>115</v>
      </c>
      <c r="F2" s="150" cm="1">
        <f t="array" aca="1" ref="F2" ca="1">INDIRECT("'Worksheet 2'!$M"&amp;$B1)</f>
        <v>13</v>
      </c>
      <c r="G2" s="151" t="s">
        <v>122</v>
      </c>
      <c r="H2" s="150" cm="1">
        <f t="array" aca="1" ref="H2" ca="1">INDIRECT("'Worksheet 2'!$O"&amp;$B1)</f>
        <v>104</v>
      </c>
      <c r="I2" s="29" t="str">
        <f>+IF('Worksheet 2'!$R$34=1,"Install",IF('Worksheet 2'!$R$34=2,"Ship",IF('Worksheet 2'!$R$34=3,"Deliver",IF('Worksheet 2'!$R$34=4,"Will Call"))))</f>
        <v>Install</v>
      </c>
      <c r="J2" s="30"/>
      <c r="L2" s="165" t="s">
        <v>128</v>
      </c>
      <c r="M2" s="150">
        <f t="shared" ref="M2:M10" ca="1" si="0">D2</f>
        <v>60</v>
      </c>
      <c r="N2" s="151" t="s">
        <v>115</v>
      </c>
      <c r="O2" s="152">
        <f ca="1">F2</f>
        <v>13</v>
      </c>
      <c r="P2" s="151" t="s">
        <v>122</v>
      </c>
      <c r="Q2" s="153">
        <f ca="1">H2</f>
        <v>104</v>
      </c>
      <c r="R2" s="29" t="str">
        <f>+IF('Worksheet 2'!$R$34=1,"Install",IF('Worksheet 2'!$R$34=2,"Ship",IF('Worksheet 2'!$R$34=3,"Deliver",IF('Worksheet 2'!$R$34=4,"Will Call"))))</f>
        <v>Install</v>
      </c>
    </row>
    <row r="3" spans="1:18" ht="19.5" customHeight="1">
      <c r="C3" s="164" t="s">
        <v>121</v>
      </c>
      <c r="D3" s="19">
        <f ca="1">+IF($D11="Left of Pair",((D2+F2)*'Worksheet 2'!AE7)/2,IF($D11="Panel",(D2+F2)*'Worksheet 2'!AE7,IF($H11="SOR",D2*2.5+6,IF($H11="SOR T&amp;B",D2*2.5+6))))</f>
        <v>91.25</v>
      </c>
      <c r="E3" s="19" t="s">
        <v>122</v>
      </c>
      <c r="F3" s="369">
        <f ca="1">H2+15</f>
        <v>119</v>
      </c>
      <c r="G3" s="448" cm="1">
        <f t="array" aca="1" ref="G3" ca="1">INDIRECT("'Worksheet 2'!$Y"&amp;$B1)</f>
        <v>0</v>
      </c>
      <c r="H3" s="448"/>
      <c r="I3" s="449"/>
      <c r="L3" s="164" t="s">
        <v>121</v>
      </c>
      <c r="M3">
        <f t="shared" ca="1" si="0"/>
        <v>91.25</v>
      </c>
      <c r="N3" s="19" t="s">
        <v>122</v>
      </c>
      <c r="O3" s="369">
        <f ca="1">F3</f>
        <v>119</v>
      </c>
      <c r="P3" s="450">
        <f ca="1">G3</f>
        <v>0</v>
      </c>
      <c r="Q3" s="450"/>
      <c r="R3" s="451"/>
    </row>
    <row r="4" spans="1:18" ht="18" customHeight="1">
      <c r="C4" s="166"/>
      <c r="D4" s="161" cm="1">
        <f t="array" aca="1" ref="D4" ca="1">IF($D11="Left of Pair",INDIRECT("'Worksheet 2'!$Q"&amp;$B1)/2,IF($D11="Panel",INDIRECT("'Worksheet 2'!$Q"&amp;$B1)))</f>
        <v>1.2749999999999999</v>
      </c>
      <c r="E4" s="42" t="s">
        <v>41</v>
      </c>
      <c r="F4" s="370"/>
      <c r="G4" s="448"/>
      <c r="H4" s="448"/>
      <c r="I4" s="449"/>
      <c r="L4" s="166"/>
      <c r="M4" s="161">
        <f t="shared" ca="1" si="0"/>
        <v>1.2749999999999999</v>
      </c>
      <c r="N4" s="42" t="s">
        <v>41</v>
      </c>
      <c r="O4" s="370"/>
      <c r="P4" s="450"/>
      <c r="Q4" s="452"/>
      <c r="R4" s="453"/>
    </row>
    <row r="5" spans="1:18" ht="15.75">
      <c r="C5" s="164" t="s">
        <v>135</v>
      </c>
      <c r="D5" s="19">
        <f ca="1">+IF(D9="yes",IF($D11="Left of Pair",($D6*$H9),IF($D11="Panel",$D6*$H9,IF($H11="SOR",$D6*$H9," ")))," ")</f>
        <v>87</v>
      </c>
      <c r="E5" s="19" t="s">
        <v>122</v>
      </c>
      <c r="F5" s="369">
        <f ca="1">IF(D9="YES",H2+12," ")</f>
        <v>116</v>
      </c>
      <c r="H5" s="343" t="s">
        <v>10</v>
      </c>
      <c r="I5" s="371" cm="1">
        <f t="array" aca="1" ref="I5" ca="1">INDIRECT("'Worksheet 2'!$Q"&amp;B1)</f>
        <v>2.5499999999999998</v>
      </c>
      <c r="L5" s="164" t="s">
        <v>135</v>
      </c>
      <c r="M5">
        <f t="shared" ca="1" si="0"/>
        <v>87</v>
      </c>
      <c r="N5" s="19" t="s">
        <v>122</v>
      </c>
      <c r="O5" s="369">
        <f ca="1">F5</f>
        <v>116</v>
      </c>
      <c r="P5" s="19"/>
      <c r="Q5" s="343" t="s">
        <v>10</v>
      </c>
      <c r="R5" s="160">
        <f ca="1">I5</f>
        <v>2.5499999999999998</v>
      </c>
    </row>
    <row r="6" spans="1:18">
      <c r="C6" s="167"/>
      <c r="D6" s="161" cm="1">
        <f t="array" aca="1" ref="D6" ca="1">IF(D9="yes",IF($D11="Left of Pair",INDIRECT("'Worksheet 2'!$S"&amp;$B1)/2,IF($D11="Panel",INDIRECT("'Worksheet 2'!$S"&amp;$B1)))," ")</f>
        <v>1.45</v>
      </c>
      <c r="E6" s="345" t="s">
        <v>41</v>
      </c>
      <c r="F6" s="372"/>
      <c r="G6" s="20"/>
      <c r="H6" s="343" t="s">
        <v>116</v>
      </c>
      <c r="I6" s="32">
        <f ca="1">IF(D11="Left of Pair",(D2+F2)/2,D2+F2)</f>
        <v>36.5</v>
      </c>
      <c r="L6" s="167"/>
      <c r="M6" s="344">
        <f t="shared" ca="1" si="0"/>
        <v>1.45</v>
      </c>
      <c r="N6" s="345" t="s">
        <v>41</v>
      </c>
      <c r="O6" s="372"/>
      <c r="P6" s="20"/>
      <c r="Q6" s="343" t="s">
        <v>116</v>
      </c>
      <c r="R6" s="32">
        <f ca="1">I6</f>
        <v>36.5</v>
      </c>
    </row>
    <row r="7" spans="1:18" ht="15" customHeight="1">
      <c r="C7" s="168" t="s">
        <v>114</v>
      </c>
      <c r="D7" s="373" t="str" cm="1">
        <f t="array" aca="1" ref="D7" ca="1">INDIRECT("'Worksheet 2'!$B"&amp;$B1)</f>
        <v>RS</v>
      </c>
      <c r="E7" s="22"/>
      <c r="F7" s="23"/>
      <c r="G7" s="22"/>
      <c r="H7" s="24"/>
      <c r="I7" s="445" t="str" cm="1">
        <f t="array" aca="1" ref="I7" ca="1">INDIRECT("'Worksheet 2'!$A"&amp;$B1)</f>
        <v>P2-21</v>
      </c>
      <c r="L7" s="168" t="s">
        <v>114</v>
      </c>
      <c r="M7" s="31" t="str">
        <f t="shared" ca="1" si="0"/>
        <v>RS</v>
      </c>
      <c r="N7" s="20"/>
      <c r="O7" s="33"/>
      <c r="P7" s="27"/>
      <c r="Q7" s="24"/>
      <c r="R7" s="445" t="str">
        <f ca="1">I7</f>
        <v>P2-21</v>
      </c>
    </row>
    <row r="8" spans="1:18" ht="15.75" customHeight="1">
      <c r="C8" s="164" t="s">
        <v>117</v>
      </c>
      <c r="D8" s="346" cm="1">
        <f t="array" aca="1" ref="D8" ca="1">INDIRECT("'Worksheet 2'!$H"&amp;$B1)</f>
        <v>3.5</v>
      </c>
      <c r="E8" s="20"/>
      <c r="F8" s="169" t="s">
        <v>118</v>
      </c>
      <c r="G8" s="35"/>
      <c r="H8" s="36" t="str">
        <f>+IF('Worksheet 2'!$R$38=TRUE,"Yes",IF('Worksheet 2'!$R$38=FALSE,"No"))</f>
        <v>Yes</v>
      </c>
      <c r="I8" s="446"/>
      <c r="L8" s="164" t="s">
        <v>117</v>
      </c>
      <c r="M8" s="34">
        <f t="shared" ca="1" si="0"/>
        <v>3.5</v>
      </c>
      <c r="N8" s="20"/>
      <c r="O8" s="169" t="s">
        <v>118</v>
      </c>
      <c r="P8" s="35"/>
      <c r="Q8" s="36" t="str">
        <f>H8</f>
        <v>Yes</v>
      </c>
      <c r="R8" s="446"/>
    </row>
    <row r="9" spans="1:18" ht="15.75" customHeight="1">
      <c r="C9" s="164" t="s">
        <v>119</v>
      </c>
      <c r="D9" s="37" t="str">
        <f ca="1">IF($E9&gt;0,"YES"," ")</f>
        <v>YES</v>
      </c>
      <c r="E9" s="347" t="str" cm="1">
        <f t="array" aca="1" ref="E9" ca="1">INDIRECT("'Worksheet 2'!$X"&amp;$B1)</f>
        <v xml:space="preserve">Flameguard </v>
      </c>
      <c r="F9" s="39"/>
      <c r="G9" s="20"/>
      <c r="H9" s="347" cm="1">
        <f t="array" aca="1" ref="H9" ca="1">INDIRECT("'Worksheet 2'!$R"&amp;$B1)</f>
        <v>60</v>
      </c>
      <c r="I9" s="446"/>
      <c r="J9" s="40"/>
      <c r="L9" s="164" t="s">
        <v>119</v>
      </c>
      <c r="M9" s="37" t="str">
        <f t="shared" ca="1" si="0"/>
        <v>YES</v>
      </c>
      <c r="N9" s="38" t="str">
        <f ca="1">E9</f>
        <v xml:space="preserve">Flameguard </v>
      </c>
      <c r="O9" s="39"/>
      <c r="P9" s="20"/>
      <c r="Q9" s="159">
        <f ca="1">H9</f>
        <v>60</v>
      </c>
      <c r="R9" s="446"/>
    </row>
    <row r="10" spans="1:18" ht="15.75" customHeight="1">
      <c r="C10" s="164" t="s">
        <v>13</v>
      </c>
      <c r="D10" s="347" t="str" cm="1">
        <f t="array" aca="1" ref="D10" ca="1">INDIRECT("'Worksheet 2'!$W"&amp;$B1)</f>
        <v>5th Avenue 72</v>
      </c>
      <c r="E10" s="22"/>
      <c r="F10" s="23"/>
      <c r="G10" s="22"/>
      <c r="H10" s="347" cm="1">
        <f t="array" aca="1" ref="H10" ca="1">INDIRECT("'Worksheet 2'!$P"&amp;$B1)</f>
        <v>72</v>
      </c>
      <c r="I10" s="447"/>
      <c r="L10" s="164" t="s">
        <v>13</v>
      </c>
      <c r="M10" s="21" t="str">
        <f t="shared" ca="1" si="0"/>
        <v>5th Avenue 72</v>
      </c>
      <c r="N10" s="22"/>
      <c r="O10" s="23"/>
      <c r="P10" s="22"/>
      <c r="Q10" s="159">
        <f ca="1">H10</f>
        <v>72</v>
      </c>
      <c r="R10" s="447"/>
    </row>
    <row r="11" spans="1:18" ht="23.25">
      <c r="C11" s="348" cm="1">
        <f t="array" aca="1" ref="C11" ca="1">INDIRECT("'Worksheet 2'!$J"&amp;$B1)</f>
        <v>0</v>
      </c>
      <c r="D11" s="444" t="str" cm="1">
        <f t="array" aca="1" ref="D11" ca="1">IF(INDIRECT("'Worksheet 2'!$D"&amp;$B1)=1, "Left of Pair", IF(INDIRECT("'Worksheet 2'!$E"&amp;$B1)=1, "Panel"))</f>
        <v>Left of Pair</v>
      </c>
      <c r="E11" s="444"/>
      <c r="F11" s="444"/>
      <c r="G11" s="374"/>
      <c r="H11" s="374" t="str" cm="1">
        <f t="array" aca="1" ref="H11" ca="1">IF(INDIRECT("'Worksheet 2'!$F"&amp;$B1)="st","SOR T&amp;B"," ")</f>
        <v xml:space="preserve"> </v>
      </c>
      <c r="I11" s="415">
        <f>IF(Worksheet!$D$46&gt;0,Worksheet!$D$46," ")</f>
        <v>30</v>
      </c>
      <c r="L11" s="41">
        <f ca="1">$C11</f>
        <v>0</v>
      </c>
      <c r="M11" s="444" t="str" cm="1">
        <f t="array" aca="1" ref="M11" ca="1">IF(INDIRECT("'Worksheet 2'!$D"&amp;$B1)=1, "Right of Pair", IF(INDIRECT("'Worksheet 2'!$E"&amp;$B1)=1, "Do Not Use"))</f>
        <v>Right of Pair</v>
      </c>
      <c r="N11" s="444"/>
      <c r="O11" s="444"/>
      <c r="P11" s="374"/>
      <c r="Q11" s="374"/>
      <c r="R11" s="415">
        <f>IF(Worksheet!$D$46&gt;0,Worksheet!$D$46," ")</f>
        <v>30</v>
      </c>
    </row>
    <row r="13" spans="1:18">
      <c r="O13" s="18" t="s">
        <v>107</v>
      </c>
    </row>
    <row r="14" spans="1:18" ht="30" customHeight="1"/>
    <row r="15" spans="1:18" ht="24.75" customHeight="1">
      <c r="A15" t="s">
        <v>25</v>
      </c>
      <c r="B15">
        <v>12</v>
      </c>
      <c r="C15" s="164" t="s">
        <v>113</v>
      </c>
      <c r="D15" s="21" t="str">
        <f>+'Worksheet 2'!$W$4</f>
        <v>Windcrest WO#J5121027-00234.01</v>
      </c>
      <c r="E15" s="22"/>
      <c r="F15" s="23"/>
      <c r="G15" s="22"/>
      <c r="H15" s="24"/>
      <c r="I15" s="25">
        <f>+'Worksheet 2'!$AR$1</f>
        <v>0</v>
      </c>
      <c r="J15" s="26"/>
      <c r="L15" s="164" t="s">
        <v>113</v>
      </c>
      <c r="M15" s="21" t="str">
        <f>+'Worksheet 2'!$W$4</f>
        <v>Windcrest WO#J5121027-00234.01</v>
      </c>
      <c r="N15" s="22"/>
      <c r="O15" s="23"/>
      <c r="P15" s="22"/>
      <c r="Q15" s="24"/>
      <c r="R15" s="25">
        <f>+'Worksheet 2'!$AR$1</f>
        <v>0</v>
      </c>
    </row>
    <row r="16" spans="1:18" ht="33" customHeight="1">
      <c r="C16" s="165" t="s">
        <v>128</v>
      </c>
      <c r="D16" s="150" cm="1">
        <f t="array" aca="1" ref="D16" ca="1">INDIRECT("'Worksheet 2'!$K"&amp;$B15)</f>
        <v>60</v>
      </c>
      <c r="E16" s="151" t="s">
        <v>115</v>
      </c>
      <c r="F16" s="150" cm="1">
        <f t="array" aca="1" ref="F16" ca="1">INDIRECT("'Worksheet 2'!$M"&amp;$B15)</f>
        <v>13</v>
      </c>
      <c r="G16" s="151" t="s">
        <v>122</v>
      </c>
      <c r="H16" s="150" cm="1">
        <f t="array" aca="1" ref="H16" ca="1">INDIRECT("'Worksheet 2'!$O"&amp;$B15)</f>
        <v>104</v>
      </c>
      <c r="I16" s="29" t="str">
        <f>+IF('Worksheet 2'!$R$34=1,"Install",IF('Worksheet 2'!$R$34=2,"Ship",IF('Worksheet 2'!$R$34=3,"Deliver",IF('Worksheet 2'!$R$34=4,"Will Call"))))</f>
        <v>Install</v>
      </c>
      <c r="J16" s="30"/>
      <c r="L16" s="165" t="s">
        <v>128</v>
      </c>
      <c r="M16" s="150">
        <f t="shared" ref="M16:M24" ca="1" si="1">D16</f>
        <v>60</v>
      </c>
      <c r="N16" s="151" t="s">
        <v>115</v>
      </c>
      <c r="O16" s="152">
        <f ca="1">F16</f>
        <v>13</v>
      </c>
      <c r="P16" s="151" t="s">
        <v>122</v>
      </c>
      <c r="Q16" s="153">
        <f ca="1">H16</f>
        <v>104</v>
      </c>
      <c r="R16" s="29" t="str">
        <f>+IF('Worksheet 2'!$R$34=1,"Install",IF('Worksheet 2'!$R$34=2,"Ship",IF('Worksheet 2'!$R$34=3,"Deliver",IF('Worksheet 2'!$R$34=4,"Will Call"))))</f>
        <v>Install</v>
      </c>
    </row>
    <row r="17" spans="1:18" ht="12.75" customHeight="1">
      <c r="C17" s="164" t="s">
        <v>121</v>
      </c>
      <c r="D17" s="19">
        <f ca="1">+IF($D25="Left of Pair",((D16+F16)*'Worksheet 2'!AE21)/2,IF($D25="Panel",(D16+F16)*'Worksheet 2'!AE21,IF($H25="SOR",D16*2.5+6,IF($H25="SOR T&amp;B",D16*2.5+6))))</f>
        <v>0</v>
      </c>
      <c r="E17" s="19" t="s">
        <v>122</v>
      </c>
      <c r="F17" s="369">
        <f ca="1">H16+15</f>
        <v>119</v>
      </c>
      <c r="G17" s="448" cm="1">
        <f t="array" aca="1" ref="G17" ca="1">INDIRECT("'Worksheet 2'!$Y"&amp;$B15)</f>
        <v>0</v>
      </c>
      <c r="H17" s="448"/>
      <c r="I17" s="449"/>
      <c r="L17" s="164" t="s">
        <v>121</v>
      </c>
      <c r="M17">
        <f t="shared" ca="1" si="1"/>
        <v>0</v>
      </c>
      <c r="N17" s="19" t="s">
        <v>122</v>
      </c>
      <c r="O17" s="369">
        <f ca="1">F17</f>
        <v>119</v>
      </c>
      <c r="P17" s="450">
        <f ca="1">G17</f>
        <v>0</v>
      </c>
      <c r="Q17" s="450"/>
      <c r="R17" s="451"/>
    </row>
    <row r="18" spans="1:18" ht="16.149999999999999" customHeight="1">
      <c r="C18" s="166"/>
      <c r="D18" s="161" cm="1">
        <f t="array" aca="1" ref="D18" ca="1">IF($D25="Left of Pair",INDIRECT("'Worksheet 2'!$Q"&amp;$B15)/2,IF($D25="Panel",INDIRECT("'Worksheet 2'!$Q"&amp;$B15)))</f>
        <v>1.2749999999999999</v>
      </c>
      <c r="E18" s="42" t="s">
        <v>41</v>
      </c>
      <c r="F18" s="370"/>
      <c r="G18" s="448"/>
      <c r="H18" s="448"/>
      <c r="I18" s="449"/>
      <c r="L18" s="166"/>
      <c r="M18" s="161">
        <f t="shared" ca="1" si="1"/>
        <v>1.2749999999999999</v>
      </c>
      <c r="N18" s="42" t="s">
        <v>41</v>
      </c>
      <c r="O18" s="370"/>
      <c r="P18" s="450"/>
      <c r="Q18" s="452"/>
      <c r="R18" s="453"/>
    </row>
    <row r="19" spans="1:18" ht="15.75">
      <c r="C19" s="164" t="s">
        <v>135</v>
      </c>
      <c r="D19" s="19">
        <f ca="1">+IF(D23="yes",IF($D25="Left of Pair",($D20*$H23),IF($D25="Panel",$D20*$H23,IF($H25="SOR",$D20*$H23," ")))," ")</f>
        <v>87</v>
      </c>
      <c r="E19" s="19" t="s">
        <v>122</v>
      </c>
      <c r="F19" s="369">
        <f ca="1">IF(D23="YES",H16+12," ")</f>
        <v>116</v>
      </c>
      <c r="H19" s="343" t="s">
        <v>10</v>
      </c>
      <c r="I19" s="371" cm="1">
        <f t="array" aca="1" ref="I19" ca="1">INDIRECT("'Worksheet 2'!$Q"&amp;B15)</f>
        <v>2.5499999999999998</v>
      </c>
      <c r="L19" s="164" t="s">
        <v>135</v>
      </c>
      <c r="M19">
        <f t="shared" ca="1" si="1"/>
        <v>87</v>
      </c>
      <c r="N19" s="19" t="s">
        <v>122</v>
      </c>
      <c r="O19" s="369">
        <f ca="1">F19</f>
        <v>116</v>
      </c>
      <c r="P19" s="19"/>
      <c r="Q19" s="343" t="s">
        <v>10</v>
      </c>
      <c r="R19" s="160">
        <f ca="1">I19</f>
        <v>2.5499999999999998</v>
      </c>
    </row>
    <row r="20" spans="1:18">
      <c r="C20" s="167"/>
      <c r="D20" s="161" cm="1">
        <f t="array" aca="1" ref="D20" ca="1">IF(D23="yes",IF($D25="Left of Pair",INDIRECT("'Worksheet 2'!$S"&amp;$B15)/2,IF($D25="Panel",INDIRECT("'Worksheet 2'!$S"&amp;$B15)))," ")</f>
        <v>1.45</v>
      </c>
      <c r="E20" s="345" t="s">
        <v>41</v>
      </c>
      <c r="F20" s="372"/>
      <c r="G20" s="20"/>
      <c r="H20" s="343" t="s">
        <v>116</v>
      </c>
      <c r="I20" s="32">
        <f ca="1">IF(D25="Left of Pair",(D16+F16)/2,D16+F16)</f>
        <v>36.5</v>
      </c>
      <c r="L20" s="167"/>
      <c r="M20" s="344">
        <f t="shared" ca="1" si="1"/>
        <v>1.45</v>
      </c>
      <c r="N20" s="345" t="s">
        <v>41</v>
      </c>
      <c r="O20" s="372"/>
      <c r="P20" s="20"/>
      <c r="Q20" s="343" t="s">
        <v>116</v>
      </c>
      <c r="R20" s="32">
        <f ca="1">I20</f>
        <v>36.5</v>
      </c>
    </row>
    <row r="21" spans="1:18" ht="12.75" customHeight="1">
      <c r="C21" s="168" t="s">
        <v>114</v>
      </c>
      <c r="D21" s="373" t="str" cm="1">
        <f t="array" aca="1" ref="D21" ca="1">INDIRECT("'Worksheet 2'!$B"&amp;$B15)</f>
        <v>RS</v>
      </c>
      <c r="E21" s="22"/>
      <c r="F21" s="23"/>
      <c r="G21" s="22"/>
      <c r="H21" s="24"/>
      <c r="I21" s="445" t="str" cm="1">
        <f t="array" aca="1" ref="I21" ca="1">INDIRECT("'Worksheet 2'!$A"&amp;$B15)</f>
        <v>P2-22</v>
      </c>
      <c r="L21" s="168" t="s">
        <v>114</v>
      </c>
      <c r="M21" s="31" t="str">
        <f t="shared" ca="1" si="1"/>
        <v>RS</v>
      </c>
      <c r="N21" s="20"/>
      <c r="O21" s="33"/>
      <c r="P21" s="27"/>
      <c r="Q21" s="24"/>
      <c r="R21" s="445" t="str">
        <f ca="1">I21</f>
        <v>P2-22</v>
      </c>
    </row>
    <row r="22" spans="1:18" ht="15.75" customHeight="1">
      <c r="C22" s="164" t="s">
        <v>117</v>
      </c>
      <c r="D22" s="346" cm="1">
        <f t="array" aca="1" ref="D22" ca="1">INDIRECT("'Worksheet 2'!$H"&amp;$B15)</f>
        <v>3.5</v>
      </c>
      <c r="E22" s="20"/>
      <c r="F22" s="169" t="s">
        <v>118</v>
      </c>
      <c r="G22" s="35"/>
      <c r="H22" s="36" t="str">
        <f>+IF('Worksheet 2'!$R$38=TRUE,"Yes",IF('Worksheet 2'!$R$38=FALSE,"No"))</f>
        <v>Yes</v>
      </c>
      <c r="I22" s="446"/>
      <c r="L22" s="164" t="s">
        <v>117</v>
      </c>
      <c r="M22" s="34">
        <f t="shared" ca="1" si="1"/>
        <v>3.5</v>
      </c>
      <c r="N22" s="20"/>
      <c r="O22" s="169" t="s">
        <v>118</v>
      </c>
      <c r="P22" s="35"/>
      <c r="Q22" s="36" t="str">
        <f>H22</f>
        <v>Yes</v>
      </c>
      <c r="R22" s="446"/>
    </row>
    <row r="23" spans="1:18" ht="15.75" customHeight="1">
      <c r="C23" s="164" t="s">
        <v>119</v>
      </c>
      <c r="D23" s="37" t="str">
        <f ca="1">IF($E23&gt;0,"YES"," ")</f>
        <v>YES</v>
      </c>
      <c r="E23" s="347" t="str" cm="1">
        <f t="array" aca="1" ref="E23" ca="1">INDIRECT("'Worksheet 2'!$X"&amp;$B15)</f>
        <v xml:space="preserve">Flameguard </v>
      </c>
      <c r="F23" s="39"/>
      <c r="G23" s="20"/>
      <c r="H23" s="347" cm="1">
        <f t="array" aca="1" ref="H23" ca="1">INDIRECT("'Worksheet 2'!$R"&amp;$B15)</f>
        <v>60</v>
      </c>
      <c r="I23" s="446"/>
      <c r="J23" s="40"/>
      <c r="L23" s="164" t="s">
        <v>119</v>
      </c>
      <c r="M23" s="37" t="str">
        <f t="shared" ca="1" si="1"/>
        <v>YES</v>
      </c>
      <c r="N23" s="38" t="str">
        <f ca="1">E23</f>
        <v xml:space="preserve">Flameguard </v>
      </c>
      <c r="O23" s="39"/>
      <c r="P23" s="20"/>
      <c r="Q23" s="159">
        <f ca="1">H23</f>
        <v>60</v>
      </c>
      <c r="R23" s="446"/>
    </row>
    <row r="24" spans="1:18" ht="15.75" customHeight="1">
      <c r="C24" s="164" t="s">
        <v>13</v>
      </c>
      <c r="D24" s="347" t="str" cm="1">
        <f t="array" aca="1" ref="D24" ca="1">INDIRECT("'Worksheet 2'!$W"&amp;$B15)</f>
        <v>5th Avenue 72</v>
      </c>
      <c r="E24" s="22"/>
      <c r="F24" s="23"/>
      <c r="G24" s="22"/>
      <c r="H24" s="347" cm="1">
        <f t="array" aca="1" ref="H24" ca="1">INDIRECT("'Worksheet 2'!$P"&amp;$B15)</f>
        <v>72</v>
      </c>
      <c r="I24" s="447"/>
      <c r="L24" s="164" t="s">
        <v>13</v>
      </c>
      <c r="M24" s="21" t="str">
        <f t="shared" ca="1" si="1"/>
        <v>5th Avenue 72</v>
      </c>
      <c r="N24" s="22"/>
      <c r="O24" s="23"/>
      <c r="P24" s="22"/>
      <c r="Q24" s="159">
        <f ca="1">H24</f>
        <v>72</v>
      </c>
      <c r="R24" s="447"/>
    </row>
    <row r="25" spans="1:18" ht="23.25">
      <c r="C25" s="348" cm="1">
        <f t="array" aca="1" ref="C25" ca="1">INDIRECT("'Worksheet 2'!$J"&amp;$B15)</f>
        <v>0</v>
      </c>
      <c r="D25" s="444" t="str" cm="1">
        <f t="array" aca="1" ref="D25" ca="1">IF(INDIRECT("'Worksheet 2'!$D"&amp;$B15)=1, "Left of Pair", IF(INDIRECT("'Worksheet 2'!$E"&amp;$B15)=1, "Panel"))</f>
        <v>Left of Pair</v>
      </c>
      <c r="E25" s="444"/>
      <c r="F25" s="444"/>
      <c r="G25" s="374"/>
      <c r="H25" s="374" t="str" cm="1">
        <f t="array" aca="1" ref="H25" ca="1">IF(INDIRECT("'Worksheet 2'!$F"&amp;$B15)="st","SOR T&amp;B"," ")</f>
        <v xml:space="preserve"> </v>
      </c>
      <c r="I25" s="415">
        <f>IF(Worksheet!$D$46&gt;0,Worksheet!$D$46," ")</f>
        <v>30</v>
      </c>
      <c r="L25" s="41">
        <f ca="1">$C25</f>
        <v>0</v>
      </c>
      <c r="M25" s="444" t="str" cm="1">
        <f t="array" aca="1" ref="M25" ca="1">IF(INDIRECT("'Worksheet 2'!$D"&amp;$B15)=1, "Right of Pair", IF(INDIRECT("'Worksheet 2'!$E"&amp;$B15)=1, "Do Not Use"))</f>
        <v>Right of Pair</v>
      </c>
      <c r="N25" s="444"/>
      <c r="O25" s="444"/>
      <c r="P25" s="374"/>
      <c r="Q25" s="374"/>
      <c r="R25" s="415">
        <f>IF(Worksheet!$D$46&gt;0,Worksheet!$D$46," ")</f>
        <v>30</v>
      </c>
    </row>
    <row r="27" spans="1:18" ht="12.6" customHeight="1"/>
    <row r="28" spans="1:18" ht="30" customHeight="1"/>
    <row r="29" spans="1:18" ht="25.15" customHeight="1">
      <c r="A29" t="s">
        <v>26</v>
      </c>
      <c r="B29">
        <v>13</v>
      </c>
      <c r="C29" s="164" t="s">
        <v>113</v>
      </c>
      <c r="D29" s="21" t="str">
        <f>+'Worksheet 2'!$W$4</f>
        <v>Windcrest WO#J5121027-00234.01</v>
      </c>
      <c r="E29" s="22"/>
      <c r="F29" s="23"/>
      <c r="G29" s="22"/>
      <c r="H29" s="24"/>
      <c r="I29" s="25">
        <f>+'Worksheet 2'!$AR$1</f>
        <v>0</v>
      </c>
      <c r="J29" s="26"/>
      <c r="L29" s="164" t="s">
        <v>113</v>
      </c>
      <c r="M29" s="21" t="str">
        <f>+'Worksheet 2'!$W$4</f>
        <v>Windcrest WO#J5121027-00234.01</v>
      </c>
      <c r="N29" s="22"/>
      <c r="O29" s="23"/>
      <c r="P29" s="22"/>
      <c r="Q29" s="24"/>
      <c r="R29" s="25">
        <f>+'Worksheet 2'!$AR$1</f>
        <v>0</v>
      </c>
    </row>
    <row r="30" spans="1:18" ht="33" customHeight="1">
      <c r="C30" s="165" t="s">
        <v>128</v>
      </c>
      <c r="D30" s="150" cm="1">
        <f t="array" aca="1" ref="D30" ca="1">INDIRECT("'Worksheet 2'!$K"&amp;$B29)</f>
        <v>54</v>
      </c>
      <c r="E30" s="151" t="s">
        <v>115</v>
      </c>
      <c r="F30" s="150" cm="1">
        <f t="array" aca="1" ref="F30" ca="1">INDIRECT("'Worksheet 2'!$M"&amp;$B29)</f>
        <v>13</v>
      </c>
      <c r="G30" s="151" t="s">
        <v>122</v>
      </c>
      <c r="H30" s="150" cm="1">
        <f t="array" aca="1" ref="H30" ca="1">INDIRECT("'Worksheet 2'!$O"&amp;$B29)</f>
        <v>104</v>
      </c>
      <c r="I30" s="29" t="str">
        <f>+IF('Worksheet 2'!$R$34=1,"Install",IF('Worksheet 2'!$R$34=2,"Ship",IF('Worksheet 2'!$R$34=3,"Deliver",IF('Worksheet 2'!$R$34=4,"Will Call"))))</f>
        <v>Install</v>
      </c>
      <c r="J30" s="30"/>
      <c r="L30" s="165" t="s">
        <v>128</v>
      </c>
      <c r="M30" s="150">
        <f t="shared" ref="M30:M38" ca="1" si="2">D30</f>
        <v>54</v>
      </c>
      <c r="N30" s="151" t="s">
        <v>115</v>
      </c>
      <c r="O30" s="152">
        <f ca="1">F30</f>
        <v>13</v>
      </c>
      <c r="P30" s="151" t="s">
        <v>122</v>
      </c>
      <c r="Q30" s="153">
        <f ca="1">H30</f>
        <v>104</v>
      </c>
      <c r="R30" s="29" t="str">
        <f>+IF('Worksheet 2'!$R$34=1,"Install",IF('Worksheet 2'!$R$34=2,"Ship",IF('Worksheet 2'!$R$34=3,"Deliver",IF('Worksheet 2'!$R$34=4,"Will Call"))))</f>
        <v>Install</v>
      </c>
    </row>
    <row r="31" spans="1:18" ht="12.75" customHeight="1">
      <c r="C31" s="164" t="s">
        <v>121</v>
      </c>
      <c r="D31" s="19">
        <f ca="1">+IF($D39="Left of Pair",((D30+F30)*'Worksheet 2'!AE35)/2,IF($D39="Panel",(D30+F30)*'Worksheet 2'!AE35,IF($H39="SOR",D30*2.5+6,IF($H39="SOR T&amp;B",D30*2.5+6))))</f>
        <v>0</v>
      </c>
      <c r="E31" s="19" t="s">
        <v>122</v>
      </c>
      <c r="F31" s="369">
        <f ca="1">H30+15</f>
        <v>119</v>
      </c>
      <c r="G31" s="448" cm="1">
        <f t="array" aca="1" ref="G31" ca="1">INDIRECT("'Worksheet 2'!$Y"&amp;$B29)</f>
        <v>0</v>
      </c>
      <c r="H31" s="448"/>
      <c r="I31" s="449"/>
      <c r="L31" s="164" t="s">
        <v>121</v>
      </c>
      <c r="M31">
        <f t="shared" ca="1" si="2"/>
        <v>0</v>
      </c>
      <c r="N31" s="19" t="s">
        <v>122</v>
      </c>
      <c r="O31" s="369">
        <f ca="1">F31</f>
        <v>119</v>
      </c>
      <c r="P31" s="450">
        <f ca="1">G31</f>
        <v>0</v>
      </c>
      <c r="Q31" s="450"/>
      <c r="R31" s="451"/>
    </row>
    <row r="32" spans="1:18" ht="16.899999999999999" customHeight="1">
      <c r="C32" s="166"/>
      <c r="D32" s="161" cm="1">
        <f t="array" aca="1" ref="D32" ca="1">IF($D39="Left of Pair",INDIRECT("'Worksheet 2'!$Q"&amp;$B29)/2,IF($D39="Panel",INDIRECT("'Worksheet 2'!$Q"&amp;$B29)))</f>
        <v>1.1749999999999998</v>
      </c>
      <c r="E32" s="42" t="s">
        <v>41</v>
      </c>
      <c r="F32" s="370"/>
      <c r="G32" s="448"/>
      <c r="H32" s="448"/>
      <c r="I32" s="449"/>
      <c r="L32" s="166"/>
      <c r="M32" s="161">
        <f t="shared" ca="1" si="2"/>
        <v>1.1749999999999998</v>
      </c>
      <c r="N32" s="42" t="s">
        <v>41</v>
      </c>
      <c r="O32" s="370"/>
      <c r="P32" s="450"/>
      <c r="Q32" s="452"/>
      <c r="R32" s="453"/>
    </row>
    <row r="33" spans="1:18" ht="15.75">
      <c r="C33" s="164" t="s">
        <v>135</v>
      </c>
      <c r="D33" s="19">
        <f ca="1">+IF(D37="yes",IF($D39="Left of Pair",($D34*$H37),IF($D39="Panel",$D34*$H37,IF($H39="SOR",$D34*$H37," ")))," ")</f>
        <v>81</v>
      </c>
      <c r="E33" s="19" t="s">
        <v>122</v>
      </c>
      <c r="F33" s="369">
        <f ca="1">IF(D37="YES",H30+12," ")</f>
        <v>116</v>
      </c>
      <c r="H33" s="343" t="s">
        <v>10</v>
      </c>
      <c r="I33" s="371" cm="1">
        <f t="array" aca="1" ref="I33" ca="1">INDIRECT("'Worksheet 2'!$Q"&amp;B29)</f>
        <v>2.3499999999999996</v>
      </c>
      <c r="L33" s="164" t="s">
        <v>135</v>
      </c>
      <c r="M33">
        <f t="shared" ca="1" si="2"/>
        <v>81</v>
      </c>
      <c r="N33" s="19" t="s">
        <v>122</v>
      </c>
      <c r="O33" s="369">
        <f ca="1">F33</f>
        <v>116</v>
      </c>
      <c r="P33" s="19"/>
      <c r="Q33" s="343" t="s">
        <v>10</v>
      </c>
      <c r="R33" s="160">
        <f ca="1">I33</f>
        <v>2.3499999999999996</v>
      </c>
    </row>
    <row r="34" spans="1:18">
      <c r="C34" s="167"/>
      <c r="D34" s="161" cm="1">
        <f t="array" aca="1" ref="D34" ca="1">IF(D37="yes",IF($D39="Left of Pair",INDIRECT("'Worksheet 2'!$S"&amp;$B29)/2,IF($D39="Panel",INDIRECT("'Worksheet 2'!$S"&amp;$B29)))," ")</f>
        <v>1.35</v>
      </c>
      <c r="E34" s="345" t="s">
        <v>41</v>
      </c>
      <c r="F34" s="372"/>
      <c r="G34" s="20"/>
      <c r="H34" s="343" t="s">
        <v>116</v>
      </c>
      <c r="I34" s="32">
        <f ca="1">IF(D39="Left of Pair",(D30+F30)/2,D30+F30)</f>
        <v>33.5</v>
      </c>
      <c r="L34" s="167"/>
      <c r="M34" s="344">
        <f t="shared" ca="1" si="2"/>
        <v>1.35</v>
      </c>
      <c r="N34" s="345" t="s">
        <v>41</v>
      </c>
      <c r="O34" s="372"/>
      <c r="P34" s="20"/>
      <c r="Q34" s="343" t="s">
        <v>116</v>
      </c>
      <c r="R34" s="32">
        <f ca="1">I34</f>
        <v>33.5</v>
      </c>
    </row>
    <row r="35" spans="1:18" ht="12.75" customHeight="1">
      <c r="C35" s="168" t="s">
        <v>114</v>
      </c>
      <c r="D35" s="373" t="str" cm="1">
        <f t="array" aca="1" ref="D35" ca="1">INDIRECT("'Worksheet 2'!$B"&amp;$B29)</f>
        <v>Primary</v>
      </c>
      <c r="E35" s="22"/>
      <c r="F35" s="23"/>
      <c r="G35" s="22"/>
      <c r="H35" s="24"/>
      <c r="I35" s="445" t="str" cm="1">
        <f t="array" aca="1" ref="I35" ca="1">INDIRECT("'Worksheet 2'!$A"&amp;$B29)</f>
        <v>P2-23</v>
      </c>
      <c r="L35" s="168" t="s">
        <v>114</v>
      </c>
      <c r="M35" s="31" t="str">
        <f t="shared" ca="1" si="2"/>
        <v>Primary</v>
      </c>
      <c r="N35" s="20"/>
      <c r="O35" s="33"/>
      <c r="P35" s="27"/>
      <c r="Q35" s="24"/>
      <c r="R35" s="445" t="str">
        <f ca="1">I35</f>
        <v>P2-23</v>
      </c>
    </row>
    <row r="36" spans="1:18" ht="15.75" customHeight="1">
      <c r="C36" s="164" t="s">
        <v>117</v>
      </c>
      <c r="D36" s="346" cm="1">
        <f t="array" aca="1" ref="D36" ca="1">INDIRECT("'Worksheet 2'!$H"&amp;$B29)</f>
        <v>3.5</v>
      </c>
      <c r="E36" s="20"/>
      <c r="F36" s="169" t="s">
        <v>118</v>
      </c>
      <c r="G36" s="35"/>
      <c r="H36" s="36" t="str">
        <f>+IF('Worksheet 2'!$R$38=TRUE,"Yes",IF('Worksheet 2'!$R$38=FALSE,"No"))</f>
        <v>Yes</v>
      </c>
      <c r="I36" s="446"/>
      <c r="L36" s="164" t="s">
        <v>117</v>
      </c>
      <c r="M36" s="34">
        <f t="shared" ca="1" si="2"/>
        <v>3.5</v>
      </c>
      <c r="N36" s="20"/>
      <c r="O36" s="169" t="s">
        <v>118</v>
      </c>
      <c r="P36" s="35"/>
      <c r="Q36" s="36" t="str">
        <f>H36</f>
        <v>Yes</v>
      </c>
      <c r="R36" s="446"/>
    </row>
    <row r="37" spans="1:18" ht="15.75" customHeight="1">
      <c r="C37" s="164" t="s">
        <v>119</v>
      </c>
      <c r="D37" s="37" t="str">
        <f ca="1">IF($E37&gt;0,"YES"," ")</f>
        <v>YES</v>
      </c>
      <c r="E37" s="347" t="str" cm="1">
        <f t="array" aca="1" ref="E37" ca="1">INDIRECT("'Worksheet 2'!$X"&amp;$B29)</f>
        <v xml:space="preserve">Flameguard </v>
      </c>
      <c r="F37" s="39"/>
      <c r="G37" s="20"/>
      <c r="H37" s="347" cm="1">
        <f t="array" aca="1" ref="H37" ca="1">INDIRECT("'Worksheet 2'!$R"&amp;$B29)</f>
        <v>60</v>
      </c>
      <c r="I37" s="446"/>
      <c r="J37" s="40"/>
      <c r="L37" s="164" t="s">
        <v>119</v>
      </c>
      <c r="M37" s="37" t="str">
        <f t="shared" ca="1" si="2"/>
        <v>YES</v>
      </c>
      <c r="N37" s="38" t="str">
        <f ca="1">E37</f>
        <v xml:space="preserve">Flameguard </v>
      </c>
      <c r="O37" s="39"/>
      <c r="P37" s="20"/>
      <c r="Q37" s="159">
        <f ca="1">H37</f>
        <v>60</v>
      </c>
      <c r="R37" s="446"/>
    </row>
    <row r="38" spans="1:18" ht="15.75" customHeight="1">
      <c r="C38" s="164" t="s">
        <v>13</v>
      </c>
      <c r="D38" s="347" t="str" cm="1">
        <f t="array" aca="1" ref="D38" ca="1">INDIRECT("'Worksheet 2'!$W"&amp;$B29)</f>
        <v>5th Avenue 72</v>
      </c>
      <c r="E38" s="22"/>
      <c r="F38" s="23"/>
      <c r="G38" s="22"/>
      <c r="H38" s="347" cm="1">
        <f t="array" aca="1" ref="H38" ca="1">INDIRECT("'Worksheet 2'!$P"&amp;$B29)</f>
        <v>72</v>
      </c>
      <c r="I38" s="447"/>
      <c r="L38" s="164" t="s">
        <v>13</v>
      </c>
      <c r="M38" s="21" t="str">
        <f t="shared" ca="1" si="2"/>
        <v>5th Avenue 72</v>
      </c>
      <c r="N38" s="22"/>
      <c r="O38" s="23"/>
      <c r="P38" s="22"/>
      <c r="Q38" s="159">
        <f ca="1">H38</f>
        <v>72</v>
      </c>
      <c r="R38" s="447"/>
    </row>
    <row r="39" spans="1:18" ht="20.25" customHeight="1">
      <c r="C39" s="348" cm="1">
        <f t="array" aca="1" ref="C39" ca="1">INDIRECT("'Worksheet 2'!$J"&amp;$B29)</f>
        <v>0</v>
      </c>
      <c r="D39" s="444" t="str" cm="1">
        <f t="array" aca="1" ref="D39" ca="1">IF(INDIRECT("'Worksheet 2'!$D"&amp;$B29)=1, "Left of Pair", IF(INDIRECT("'Worksheet 2'!$E"&amp;$B29)=1, "Panel"))</f>
        <v>Left of Pair</v>
      </c>
      <c r="E39" s="444"/>
      <c r="F39" s="444"/>
      <c r="G39" s="374"/>
      <c r="H39" s="374" t="str" cm="1">
        <f t="array" aca="1" ref="H39" ca="1">IF(INDIRECT("'Worksheet 2'!$F"&amp;$B29)="st","SOR T&amp;B"," ")</f>
        <v xml:space="preserve"> </v>
      </c>
      <c r="I39" s="415">
        <f>IF(Worksheet!$D$46&gt;0,Worksheet!$D$46," ")</f>
        <v>30</v>
      </c>
      <c r="L39" s="41">
        <f ca="1">$C39</f>
        <v>0</v>
      </c>
      <c r="M39" s="444" t="str" cm="1">
        <f t="array" aca="1" ref="M39" ca="1">IF(INDIRECT("'Worksheet 2'!$D"&amp;$B29)=1, "Right of Pair", IF(INDIRECT("'Worksheet 2'!$E"&amp;$B29)=1, "Do Not Use"))</f>
        <v>Right of Pair</v>
      </c>
      <c r="N39" s="444"/>
      <c r="O39" s="444"/>
      <c r="P39" s="374"/>
      <c r="Q39" s="374"/>
      <c r="R39" s="415">
        <f>IF(Worksheet!$D$46&gt;0,Worksheet!$D$46," ")</f>
        <v>30</v>
      </c>
    </row>
    <row r="40" spans="1:18" ht="15.6" customHeight="1"/>
    <row r="41" spans="1:18" ht="13.15" customHeight="1">
      <c r="O41" s="18" t="s">
        <v>107</v>
      </c>
    </row>
    <row r="42" spans="1:18" ht="30" customHeight="1"/>
    <row r="43" spans="1:18" ht="19.5">
      <c r="A43" t="s">
        <v>27</v>
      </c>
      <c r="B43">
        <v>14</v>
      </c>
      <c r="C43" s="164" t="s">
        <v>113</v>
      </c>
      <c r="D43" s="21" t="str">
        <f>+'Worksheet 2'!$W$4</f>
        <v>Windcrest WO#J5121027-00234.01</v>
      </c>
      <c r="E43" s="22"/>
      <c r="F43" s="23"/>
      <c r="G43" s="22"/>
      <c r="H43" s="24"/>
      <c r="I43" s="25">
        <f>+'Worksheet 2'!$AR$1</f>
        <v>0</v>
      </c>
      <c r="J43" s="26"/>
      <c r="L43" s="164" t="s">
        <v>113</v>
      </c>
      <c r="M43" s="21" t="str">
        <f>+'Worksheet 2'!$W$4</f>
        <v>Windcrest WO#J5121027-00234.01</v>
      </c>
      <c r="N43" s="22"/>
      <c r="O43" s="23"/>
      <c r="P43" s="22"/>
      <c r="Q43" s="24"/>
      <c r="R43" s="25">
        <f>+'Worksheet 2'!$AR$1</f>
        <v>0</v>
      </c>
    </row>
    <row r="44" spans="1:18" ht="32.25">
      <c r="C44" s="165" t="s">
        <v>128</v>
      </c>
      <c r="D44" s="150" cm="1">
        <f t="array" aca="1" ref="D44" ca="1">INDIRECT("'Worksheet 2'!$K"&amp;$B43)</f>
        <v>54</v>
      </c>
      <c r="E44" s="151" t="s">
        <v>115</v>
      </c>
      <c r="F44" s="150" cm="1">
        <f t="array" aca="1" ref="F44" ca="1">INDIRECT("'Worksheet 2'!$M"&amp;$B43)</f>
        <v>13</v>
      </c>
      <c r="G44" s="151" t="s">
        <v>122</v>
      </c>
      <c r="H44" s="150" cm="1">
        <f t="array" aca="1" ref="H44" ca="1">INDIRECT("'Worksheet 2'!$O"&amp;$B43)</f>
        <v>104</v>
      </c>
      <c r="I44" s="29" t="str">
        <f>+IF('Worksheet 2'!$R$34=1,"Install",IF('Worksheet 2'!$R$34=2,"Ship",IF('Worksheet 2'!$R$34=3,"Deliver",IF('Worksheet 2'!$R$34=4,"Will Call"))))</f>
        <v>Install</v>
      </c>
      <c r="J44" s="30"/>
      <c r="L44" s="165" t="s">
        <v>128</v>
      </c>
      <c r="M44" s="150">
        <f t="shared" ref="M44:M52" ca="1" si="3">D44</f>
        <v>54</v>
      </c>
      <c r="N44" s="151" t="s">
        <v>115</v>
      </c>
      <c r="O44" s="152">
        <f ca="1">F44</f>
        <v>13</v>
      </c>
      <c r="P44" s="151" t="s">
        <v>122</v>
      </c>
      <c r="Q44" s="153">
        <f ca="1">H44</f>
        <v>104</v>
      </c>
      <c r="R44" s="29" t="str">
        <f>+IF('Worksheet 2'!$R$34=1,"Install",IF('Worksheet 2'!$R$34=2,"Ship",IF('Worksheet 2'!$R$34=3,"Deliver",IF('Worksheet 2'!$R$34=4,"Will Call"))))</f>
        <v>Install</v>
      </c>
    </row>
    <row r="45" spans="1:18" ht="12.75" customHeight="1">
      <c r="C45" s="164" t="s">
        <v>121</v>
      </c>
      <c r="D45" s="19">
        <f ca="1">+IF($D53="Left of Pair",((D44+F44)*'Worksheet 2'!AE49)/2,IF($D53="Panel",(D44+F44)*'Worksheet 2'!AE49,IF($H53="SOR",D44*2.5+6,IF($H53="SOR T&amp;B",D44*2.5+6))))</f>
        <v>0</v>
      </c>
      <c r="E45" s="19" t="s">
        <v>122</v>
      </c>
      <c r="F45" s="369">
        <f ca="1">H44+15</f>
        <v>119</v>
      </c>
      <c r="G45" s="448" cm="1">
        <f t="array" aca="1" ref="G45" ca="1">INDIRECT("'Worksheet 2'!$Y"&amp;$B43)</f>
        <v>0</v>
      </c>
      <c r="H45" s="448"/>
      <c r="I45" s="449"/>
      <c r="L45" s="164" t="s">
        <v>121</v>
      </c>
      <c r="M45">
        <f t="shared" ca="1" si="3"/>
        <v>0</v>
      </c>
      <c r="N45" s="19" t="s">
        <v>122</v>
      </c>
      <c r="O45" s="369">
        <f ca="1">F45</f>
        <v>119</v>
      </c>
      <c r="P45" s="450">
        <f ca="1">G45</f>
        <v>0</v>
      </c>
      <c r="Q45" s="450"/>
      <c r="R45" s="451"/>
    </row>
    <row r="46" spans="1:18" ht="19.5" customHeight="1">
      <c r="C46" s="166"/>
      <c r="D46" s="161" cm="1">
        <f t="array" aca="1" ref="D46" ca="1">IF($D53="Left of Pair",INDIRECT("'Worksheet 2'!$Q"&amp;$B43)/2,IF($D53="Panel",INDIRECT("'Worksheet 2'!$Q"&amp;$B43)))</f>
        <v>1.1749999999999998</v>
      </c>
      <c r="E46" s="42" t="s">
        <v>41</v>
      </c>
      <c r="F46" s="370"/>
      <c r="G46" s="448"/>
      <c r="H46" s="448"/>
      <c r="I46" s="449"/>
      <c r="L46" s="166"/>
      <c r="M46" s="161">
        <f t="shared" ca="1" si="3"/>
        <v>1.1749999999999998</v>
      </c>
      <c r="N46" s="42" t="s">
        <v>41</v>
      </c>
      <c r="O46" s="370"/>
      <c r="P46" s="450"/>
      <c r="Q46" s="452"/>
      <c r="R46" s="453"/>
    </row>
    <row r="47" spans="1:18" ht="15.75">
      <c r="C47" s="164" t="s">
        <v>135</v>
      </c>
      <c r="D47" s="19">
        <f ca="1">+IF(D51="yes",IF($D53="Left of Pair",($D48*$H51),IF($D53="Panel",$D48*$H51,IF($H53="SOR",$D48*$H51," ")))," ")</f>
        <v>81</v>
      </c>
      <c r="E47" s="19" t="s">
        <v>122</v>
      </c>
      <c r="F47" s="369">
        <f ca="1">IF(D51="YES",H44+12," ")</f>
        <v>116</v>
      </c>
      <c r="H47" s="343" t="s">
        <v>10</v>
      </c>
      <c r="I47" s="371" cm="1">
        <f t="array" aca="1" ref="I47" ca="1">INDIRECT("'Worksheet 2'!$Q"&amp;B43)</f>
        <v>2.3499999999999996</v>
      </c>
      <c r="L47" s="164" t="s">
        <v>135</v>
      </c>
      <c r="M47">
        <f t="shared" ca="1" si="3"/>
        <v>81</v>
      </c>
      <c r="N47" s="19" t="s">
        <v>122</v>
      </c>
      <c r="O47" s="369">
        <f ca="1">F47</f>
        <v>116</v>
      </c>
      <c r="P47" s="19"/>
      <c r="Q47" s="343" t="s">
        <v>10</v>
      </c>
      <c r="R47" s="160">
        <f ca="1">I47</f>
        <v>2.3499999999999996</v>
      </c>
    </row>
    <row r="48" spans="1:18">
      <c r="C48" s="167"/>
      <c r="D48" s="161" cm="1">
        <f t="array" aca="1" ref="D48" ca="1">IF(D51="yes",IF($D53="Left of Pair",INDIRECT("'Worksheet 2'!$S"&amp;$B43)/2,IF($D53="Panel",INDIRECT("'Worksheet 2'!$S"&amp;$B43)))," ")</f>
        <v>1.35</v>
      </c>
      <c r="E48" s="345" t="s">
        <v>41</v>
      </c>
      <c r="F48" s="372"/>
      <c r="G48" s="20"/>
      <c r="H48" s="343" t="s">
        <v>116</v>
      </c>
      <c r="I48" s="32">
        <f ca="1">IF(D53="Left of Pair",(D44+F44)/2,D44+F44)</f>
        <v>33.5</v>
      </c>
      <c r="L48" s="167"/>
      <c r="M48" s="344">
        <f t="shared" ca="1" si="3"/>
        <v>1.35</v>
      </c>
      <c r="N48" s="345" t="s">
        <v>41</v>
      </c>
      <c r="O48" s="372"/>
      <c r="P48" s="20"/>
      <c r="Q48" s="343" t="s">
        <v>116</v>
      </c>
      <c r="R48" s="32">
        <f ca="1">I48</f>
        <v>33.5</v>
      </c>
    </row>
    <row r="49" spans="1:18" ht="12.75" customHeight="1">
      <c r="C49" s="168" t="s">
        <v>114</v>
      </c>
      <c r="D49" s="373" t="str" cm="1">
        <f t="array" aca="1" ref="D49" ca="1">INDIRECT("'Worksheet 2'!$B"&amp;$B43)</f>
        <v>Primary</v>
      </c>
      <c r="E49" s="22"/>
      <c r="F49" s="23"/>
      <c r="G49" s="22"/>
      <c r="H49" s="24"/>
      <c r="I49" s="445" t="str" cm="1">
        <f t="array" aca="1" ref="I49" ca="1">INDIRECT("'Worksheet 2'!$A"&amp;$B43)</f>
        <v>P2-24</v>
      </c>
      <c r="L49" s="168" t="s">
        <v>114</v>
      </c>
      <c r="M49" s="31" t="str">
        <f t="shared" ca="1" si="3"/>
        <v>Primary</v>
      </c>
      <c r="N49" s="20"/>
      <c r="O49" s="33"/>
      <c r="P49" s="27"/>
      <c r="Q49" s="24"/>
      <c r="R49" s="445" t="str">
        <f ca="1">I49</f>
        <v>P2-24</v>
      </c>
    </row>
    <row r="50" spans="1:18" ht="15.75" customHeight="1">
      <c r="C50" s="164" t="s">
        <v>117</v>
      </c>
      <c r="D50" s="346" cm="1">
        <f t="array" aca="1" ref="D50" ca="1">INDIRECT("'Worksheet 2'!$H"&amp;$B43)</f>
        <v>3.5</v>
      </c>
      <c r="E50" s="20"/>
      <c r="F50" s="169" t="s">
        <v>118</v>
      </c>
      <c r="G50" s="35"/>
      <c r="H50" s="36" t="str">
        <f>+IF('Worksheet 2'!$R$38=TRUE,"Yes",IF('Worksheet 2'!$R$38=FALSE,"No"))</f>
        <v>Yes</v>
      </c>
      <c r="I50" s="446"/>
      <c r="L50" s="164" t="s">
        <v>117</v>
      </c>
      <c r="M50" s="34">
        <f t="shared" ca="1" si="3"/>
        <v>3.5</v>
      </c>
      <c r="N50" s="20"/>
      <c r="O50" s="169" t="s">
        <v>118</v>
      </c>
      <c r="P50" s="35"/>
      <c r="Q50" s="36" t="str">
        <f>H50</f>
        <v>Yes</v>
      </c>
      <c r="R50" s="446"/>
    </row>
    <row r="51" spans="1:18" ht="15.75" customHeight="1">
      <c r="C51" s="164" t="s">
        <v>119</v>
      </c>
      <c r="D51" s="37" t="str">
        <f ca="1">IF($E51&gt;0,"YES"," ")</f>
        <v>YES</v>
      </c>
      <c r="E51" s="347" t="str" cm="1">
        <f t="array" aca="1" ref="E51" ca="1">INDIRECT("'Worksheet 2'!$X"&amp;$B43)</f>
        <v xml:space="preserve">Flameguard </v>
      </c>
      <c r="F51" s="39"/>
      <c r="G51" s="20"/>
      <c r="H51" s="347" cm="1">
        <f t="array" aca="1" ref="H51" ca="1">INDIRECT("'Worksheet 2'!$R"&amp;$B43)</f>
        <v>60</v>
      </c>
      <c r="I51" s="446"/>
      <c r="J51" s="40"/>
      <c r="L51" s="164" t="s">
        <v>119</v>
      </c>
      <c r="M51" s="37" t="str">
        <f t="shared" ca="1" si="3"/>
        <v>YES</v>
      </c>
      <c r="N51" s="38" t="str">
        <f ca="1">E51</f>
        <v xml:space="preserve">Flameguard </v>
      </c>
      <c r="O51" s="39"/>
      <c r="P51" s="20"/>
      <c r="Q51" s="159">
        <f ca="1">H51</f>
        <v>60</v>
      </c>
      <c r="R51" s="446"/>
    </row>
    <row r="52" spans="1:18" ht="15.75" customHeight="1">
      <c r="C52" s="164" t="s">
        <v>13</v>
      </c>
      <c r="D52" s="347" t="str" cm="1">
        <f t="array" aca="1" ref="D52" ca="1">INDIRECT("'Worksheet 2'!$W"&amp;$B43)</f>
        <v>5th Avenue 72</v>
      </c>
      <c r="E52" s="22"/>
      <c r="F52" s="23"/>
      <c r="G52" s="22"/>
      <c r="H52" s="347" cm="1">
        <f t="array" aca="1" ref="H52" ca="1">INDIRECT("'Worksheet 2'!$P"&amp;$B43)</f>
        <v>72</v>
      </c>
      <c r="I52" s="447"/>
      <c r="L52" s="164" t="s">
        <v>13</v>
      </c>
      <c r="M52" s="21" t="str">
        <f t="shared" ca="1" si="3"/>
        <v>5th Avenue 72</v>
      </c>
      <c r="N52" s="22"/>
      <c r="O52" s="23"/>
      <c r="P52" s="22"/>
      <c r="Q52" s="159">
        <f ca="1">H52</f>
        <v>72</v>
      </c>
      <c r="R52" s="447"/>
    </row>
    <row r="53" spans="1:18" ht="23.25">
      <c r="C53" s="348" cm="1">
        <f t="array" aca="1" ref="C53" ca="1">INDIRECT("'Worksheet 2'!$J"&amp;$B43)</f>
        <v>0</v>
      </c>
      <c r="D53" s="444" t="str" cm="1">
        <f t="array" aca="1" ref="D53" ca="1">IF(INDIRECT("'Worksheet 2'!$D"&amp;$B43)=1, "Left of Pair", IF(INDIRECT("'Worksheet 2'!$E"&amp;$B43)=1, "Panel"))</f>
        <v>Left of Pair</v>
      </c>
      <c r="E53" s="444"/>
      <c r="F53" s="444"/>
      <c r="G53" s="374"/>
      <c r="H53" s="374" t="str" cm="1">
        <f t="array" aca="1" ref="H53" ca="1">IF(INDIRECT("'Worksheet 2'!$F"&amp;$B43)="st","SOR T&amp;B"," ")</f>
        <v xml:space="preserve"> </v>
      </c>
      <c r="I53" s="415">
        <f>IF(Worksheet!$D$46&gt;0,Worksheet!$D$46," ")</f>
        <v>30</v>
      </c>
      <c r="L53" s="41">
        <f ca="1">$C53</f>
        <v>0</v>
      </c>
      <c r="M53" s="444" t="str" cm="1">
        <f t="array" aca="1" ref="M53" ca="1">IF(INDIRECT("'Worksheet 2'!$D"&amp;$B43)=1, "Right of Pair", IF(INDIRECT("'Worksheet 2'!$E"&amp;$B43)=1, "Do Not Use"))</f>
        <v>Right of Pair</v>
      </c>
      <c r="N53" s="444"/>
      <c r="O53" s="444"/>
      <c r="P53" s="374"/>
      <c r="Q53" s="374"/>
      <c r="R53" s="415">
        <f>IF(Worksheet!$D$46&gt;0,Worksheet!$D$46," ")</f>
        <v>30</v>
      </c>
    </row>
    <row r="55" spans="1:18" ht="19.5">
      <c r="A55" t="s">
        <v>28</v>
      </c>
      <c r="B55">
        <v>15</v>
      </c>
      <c r="C55" s="164" t="s">
        <v>113</v>
      </c>
      <c r="D55" s="21" t="str">
        <f>+'Worksheet 2'!$W$4</f>
        <v>Windcrest WO#J5121027-00234.01</v>
      </c>
      <c r="E55" s="22"/>
      <c r="F55" s="23"/>
      <c r="G55" s="22"/>
      <c r="H55" s="24"/>
      <c r="I55" s="25">
        <f>+'Worksheet 2'!$AR$1</f>
        <v>0</v>
      </c>
      <c r="J55" s="26"/>
      <c r="L55" s="164" t="s">
        <v>113</v>
      </c>
      <c r="M55" s="21" t="str">
        <f>+'Worksheet 2'!$W$4</f>
        <v>Windcrest WO#J5121027-00234.01</v>
      </c>
      <c r="N55" s="22"/>
      <c r="O55" s="23"/>
      <c r="P55" s="22"/>
      <c r="Q55" s="24"/>
      <c r="R55" s="25">
        <f>+'Worksheet 2'!$AR$1</f>
        <v>0</v>
      </c>
    </row>
    <row r="56" spans="1:18" ht="32.25">
      <c r="C56" s="165" t="s">
        <v>128</v>
      </c>
      <c r="D56" s="150" cm="1">
        <f t="array" aca="1" ref="D56" ca="1">INDIRECT("'Worksheet 2'!$K"&amp;$B55)</f>
        <v>44</v>
      </c>
      <c r="E56" s="151" t="s">
        <v>115</v>
      </c>
      <c r="F56" s="150" cm="1">
        <f t="array" aca="1" ref="F56" ca="1">INDIRECT("'Worksheet 2'!$M"&amp;$B55)</f>
        <v>13</v>
      </c>
      <c r="G56" s="151" t="s">
        <v>122</v>
      </c>
      <c r="H56" s="150" cm="1">
        <f t="array" aca="1" ref="H56" ca="1">INDIRECT("'Worksheet 2'!$O"&amp;$B55)</f>
        <v>83</v>
      </c>
      <c r="I56" s="29" t="str">
        <f>+IF('Worksheet 2'!$R$34=1,"Install",IF('Worksheet 2'!$R$34=2,"Ship",IF('Worksheet 2'!$R$34=3,"Deliver",IF('Worksheet 2'!$R$34=4,"Will Call"))))</f>
        <v>Install</v>
      </c>
      <c r="J56" s="30"/>
      <c r="L56" s="165" t="s">
        <v>128</v>
      </c>
      <c r="M56" s="150">
        <f t="shared" ref="M56:M64" ca="1" si="4">D56</f>
        <v>44</v>
      </c>
      <c r="N56" s="151" t="s">
        <v>115</v>
      </c>
      <c r="O56" s="152">
        <f ca="1">F56</f>
        <v>13</v>
      </c>
      <c r="P56" s="151" t="s">
        <v>122</v>
      </c>
      <c r="Q56" s="153">
        <f ca="1">H56</f>
        <v>83</v>
      </c>
      <c r="R56" s="29" t="str">
        <f>+IF('Worksheet 2'!$R$34=1,"Install",IF('Worksheet 2'!$R$34=2,"Ship",IF('Worksheet 2'!$R$34=3,"Deliver",IF('Worksheet 2'!$R$34=4,"Will Call"))))</f>
        <v>Install</v>
      </c>
    </row>
    <row r="57" spans="1:18" ht="12.75" customHeight="1">
      <c r="C57" s="164" t="s">
        <v>121</v>
      </c>
      <c r="D57" s="19">
        <f ca="1">+IF($D65="Left of Pair",((D56+F56)*'Worksheet 2'!AE61)/2,IF($D65="Panel",(D56+F56)*'Worksheet 2'!AE61,IF($H65="SOR",D56*2.5+6,IF($H65="SOR T&amp;B",D56*2.5+6))))</f>
        <v>0</v>
      </c>
      <c r="E57" s="19" t="s">
        <v>122</v>
      </c>
      <c r="F57" s="369">
        <f ca="1">H56+15</f>
        <v>98</v>
      </c>
      <c r="G57" s="448" cm="1">
        <f t="array" aca="1" ref="G57" ca="1">INDIRECT("'Worksheet 2'!$Y"&amp;$B55)</f>
        <v>0</v>
      </c>
      <c r="H57" s="448"/>
      <c r="I57" s="449"/>
      <c r="L57" s="164" t="s">
        <v>121</v>
      </c>
      <c r="M57">
        <f t="shared" ca="1" si="4"/>
        <v>0</v>
      </c>
      <c r="N57" s="19" t="s">
        <v>122</v>
      </c>
      <c r="O57" s="369">
        <f ca="1">F57</f>
        <v>98</v>
      </c>
      <c r="P57" s="450">
        <f ca="1">G57</f>
        <v>0</v>
      </c>
      <c r="Q57" s="450"/>
      <c r="R57" s="451"/>
    </row>
    <row r="58" spans="1:18" ht="19.5" customHeight="1">
      <c r="C58" s="166"/>
      <c r="D58" s="161" cm="1">
        <f t="array" aca="1" ref="D58" ca="1">IF($D65="Left of Pair",INDIRECT("'Worksheet 2'!$Q"&amp;$B55)/2,IF($D65="Panel",INDIRECT("'Worksheet 2'!$Q"&amp;$B55)))</f>
        <v>1</v>
      </c>
      <c r="E58" s="42" t="s">
        <v>41</v>
      </c>
      <c r="F58" s="370"/>
      <c r="G58" s="448"/>
      <c r="H58" s="448"/>
      <c r="I58" s="449"/>
      <c r="L58" s="166"/>
      <c r="M58" s="161">
        <f t="shared" ca="1" si="4"/>
        <v>1</v>
      </c>
      <c r="N58" s="42" t="s">
        <v>41</v>
      </c>
      <c r="O58" s="370"/>
      <c r="P58" s="450"/>
      <c r="Q58" s="452"/>
      <c r="R58" s="453"/>
    </row>
    <row r="59" spans="1:18" ht="15.75">
      <c r="C59" s="164" t="s">
        <v>135</v>
      </c>
      <c r="D59" s="19">
        <f ca="1">+IF(D63="yes",IF($D65="Left of Pair",($D60*$H63),IF($D65="Panel",$D60*$H63,IF($H65="SOR",$D60*$H63," ")))," ")</f>
        <v>69</v>
      </c>
      <c r="E59" s="19" t="s">
        <v>122</v>
      </c>
      <c r="F59" s="369">
        <f ca="1">IF(D63="YES",H56+12," ")</f>
        <v>95</v>
      </c>
      <c r="H59" s="343" t="s">
        <v>10</v>
      </c>
      <c r="I59" s="371" cm="1">
        <f t="array" aca="1" ref="I59" ca="1">INDIRECT("'Worksheet 2'!$Q"&amp;B55)</f>
        <v>2</v>
      </c>
      <c r="L59" s="164" t="s">
        <v>135</v>
      </c>
      <c r="M59">
        <f t="shared" ca="1" si="4"/>
        <v>69</v>
      </c>
      <c r="N59" s="19" t="s">
        <v>122</v>
      </c>
      <c r="O59" s="369">
        <f ca="1">F59</f>
        <v>95</v>
      </c>
      <c r="P59" s="19"/>
      <c r="Q59" s="343" t="s">
        <v>10</v>
      </c>
      <c r="R59" s="160">
        <f ca="1">I59</f>
        <v>2</v>
      </c>
    </row>
    <row r="60" spans="1:18">
      <c r="C60" s="167"/>
      <c r="D60" s="161" cm="1">
        <f t="array" aca="1" ref="D60" ca="1">IF(D63="yes",IF($D65="Left of Pair",INDIRECT("'Worksheet 2'!$S"&amp;$B55)/2,IF($D65="Panel",INDIRECT("'Worksheet 2'!$S"&amp;$B55)))," ")</f>
        <v>1.1499999999999999</v>
      </c>
      <c r="E60" s="345" t="s">
        <v>41</v>
      </c>
      <c r="F60" s="372"/>
      <c r="G60" s="20"/>
      <c r="H60" s="343" t="s">
        <v>116</v>
      </c>
      <c r="I60" s="32">
        <f ca="1">IF(D65="Left of Pair",(D56+F56)/2,D56+F56)</f>
        <v>28.5</v>
      </c>
      <c r="L60" s="167"/>
      <c r="M60" s="344">
        <f t="shared" ca="1" si="4"/>
        <v>1.1499999999999999</v>
      </c>
      <c r="N60" s="345" t="s">
        <v>41</v>
      </c>
      <c r="O60" s="372"/>
      <c r="P60" s="20"/>
      <c r="Q60" s="343" t="s">
        <v>116</v>
      </c>
      <c r="R60" s="32">
        <f ca="1">I60</f>
        <v>28.5</v>
      </c>
    </row>
    <row r="61" spans="1:18" ht="12.75" customHeight="1">
      <c r="C61" s="168" t="s">
        <v>114</v>
      </c>
      <c r="D61" s="373" t="str" cm="1">
        <f t="array" aca="1" ref="D61" ca="1">INDIRECT("'Worksheet 2'!$B"&amp;$B55)</f>
        <v>Clerk</v>
      </c>
      <c r="E61" s="22"/>
      <c r="F61" s="23"/>
      <c r="G61" s="22"/>
      <c r="H61" s="24"/>
      <c r="I61" s="445" t="str" cm="1">
        <f t="array" aca="1" ref="I61" ca="1">INDIRECT("'Worksheet 2'!$A"&amp;$B55)</f>
        <v>P2-25</v>
      </c>
      <c r="L61" s="168" t="s">
        <v>114</v>
      </c>
      <c r="M61" s="31" t="str">
        <f t="shared" ca="1" si="4"/>
        <v>Clerk</v>
      </c>
      <c r="N61" s="20"/>
      <c r="O61" s="33"/>
      <c r="P61" s="27"/>
      <c r="Q61" s="24"/>
      <c r="R61" s="445" t="str">
        <f ca="1">I61</f>
        <v>P2-25</v>
      </c>
    </row>
    <row r="62" spans="1:18" ht="15.75" customHeight="1">
      <c r="C62" s="164" t="s">
        <v>117</v>
      </c>
      <c r="D62" s="346" cm="1">
        <f t="array" aca="1" ref="D62" ca="1">INDIRECT("'Worksheet 2'!$H"&amp;$B55)</f>
        <v>3.5</v>
      </c>
      <c r="E62" s="20"/>
      <c r="F62" s="169" t="s">
        <v>118</v>
      </c>
      <c r="G62" s="35"/>
      <c r="H62" s="36" t="str">
        <f>+IF('Worksheet 2'!$R$38=TRUE,"Yes",IF('Worksheet 2'!$R$38=FALSE,"No"))</f>
        <v>Yes</v>
      </c>
      <c r="I62" s="446"/>
      <c r="L62" s="164" t="s">
        <v>117</v>
      </c>
      <c r="M62" s="34">
        <f t="shared" ca="1" si="4"/>
        <v>3.5</v>
      </c>
      <c r="N62" s="20"/>
      <c r="O62" s="169" t="s">
        <v>118</v>
      </c>
      <c r="P62" s="35"/>
      <c r="Q62" s="36" t="str">
        <f>H62</f>
        <v>Yes</v>
      </c>
      <c r="R62" s="446"/>
    </row>
    <row r="63" spans="1:18" ht="15.75" customHeight="1">
      <c r="C63" s="164" t="s">
        <v>119</v>
      </c>
      <c r="D63" s="37" t="str">
        <f ca="1">IF($E63&gt;0,"YES"," ")</f>
        <v>YES</v>
      </c>
      <c r="E63" s="347" t="str" cm="1">
        <f t="array" aca="1" ref="E63" ca="1">INDIRECT("'Worksheet 2'!$X"&amp;$B55)</f>
        <v xml:space="preserve">Flameguard </v>
      </c>
      <c r="F63" s="39"/>
      <c r="G63" s="20"/>
      <c r="H63" s="347" cm="1">
        <f t="array" aca="1" ref="H63" ca="1">INDIRECT("'Worksheet 2'!$R"&amp;$B55)</f>
        <v>60</v>
      </c>
      <c r="I63" s="446"/>
      <c r="J63" s="40"/>
      <c r="L63" s="164" t="s">
        <v>119</v>
      </c>
      <c r="M63" s="37" t="str">
        <f t="shared" ca="1" si="4"/>
        <v>YES</v>
      </c>
      <c r="N63" s="38" t="str">
        <f ca="1">E63</f>
        <v xml:space="preserve">Flameguard </v>
      </c>
      <c r="O63" s="39"/>
      <c r="P63" s="20"/>
      <c r="Q63" s="159">
        <f ca="1">H63</f>
        <v>60</v>
      </c>
      <c r="R63" s="446"/>
    </row>
    <row r="64" spans="1:18" ht="15.75" customHeight="1">
      <c r="C64" s="164" t="s">
        <v>13</v>
      </c>
      <c r="D64" s="347" t="str" cm="1">
        <f t="array" aca="1" ref="D64" ca="1">INDIRECT("'Worksheet 2'!$W"&amp;$B55)</f>
        <v>5th Avenue 72</v>
      </c>
      <c r="E64" s="22"/>
      <c r="F64" s="23"/>
      <c r="G64" s="22"/>
      <c r="H64" s="347" cm="1">
        <f t="array" aca="1" ref="H64" ca="1">INDIRECT("'Worksheet 2'!$P"&amp;$B55)</f>
        <v>72</v>
      </c>
      <c r="I64" s="447"/>
      <c r="L64" s="164" t="s">
        <v>13</v>
      </c>
      <c r="M64" s="21" t="str">
        <f t="shared" ca="1" si="4"/>
        <v>5th Avenue 72</v>
      </c>
      <c r="N64" s="22"/>
      <c r="O64" s="23"/>
      <c r="P64" s="22"/>
      <c r="Q64" s="159">
        <f ca="1">H64</f>
        <v>72</v>
      </c>
      <c r="R64" s="447"/>
    </row>
    <row r="65" spans="1:18" ht="23.25">
      <c r="C65" s="348" cm="1">
        <f t="array" aca="1" ref="C65" ca="1">INDIRECT("'Worksheet 2'!$J"&amp;$B55)</f>
        <v>0</v>
      </c>
      <c r="D65" s="444" t="str" cm="1">
        <f t="array" aca="1" ref="D65" ca="1">IF(INDIRECT("'Worksheet 2'!$D"&amp;$B55)=1, "Left of Pair", IF(INDIRECT("'Worksheet 2'!$E"&amp;$B55)=1, "Panel"))</f>
        <v>Left of Pair</v>
      </c>
      <c r="E65" s="444"/>
      <c r="F65" s="444"/>
      <c r="G65" s="374"/>
      <c r="H65" s="374" t="str" cm="1">
        <f t="array" aca="1" ref="H65" ca="1">IF(INDIRECT("'Worksheet 2'!$F"&amp;$B55)="st","SOR T&amp;B"," ")</f>
        <v xml:space="preserve"> </v>
      </c>
      <c r="I65" s="415">
        <f>IF(Worksheet!$D$46&gt;0,Worksheet!$D$46," ")</f>
        <v>30</v>
      </c>
      <c r="L65" s="41">
        <f ca="1">$C65</f>
        <v>0</v>
      </c>
      <c r="M65" s="444" t="str" cm="1">
        <f t="array" aca="1" ref="M65" ca="1">IF(INDIRECT("'Worksheet 2'!$D"&amp;$B55)=1, "Right of Pair", IF(INDIRECT("'Worksheet 2'!$E"&amp;$B55)=1, "Do Not Use"))</f>
        <v>Right of Pair</v>
      </c>
      <c r="N65" s="444"/>
      <c r="O65" s="444"/>
      <c r="P65" s="374"/>
      <c r="Q65" s="374"/>
      <c r="R65" s="415">
        <f>IF(Worksheet!$D$46&gt;0,Worksheet!$D$46," ")</f>
        <v>30</v>
      </c>
    </row>
    <row r="67" spans="1:18">
      <c r="O67" s="18" t="s">
        <v>107</v>
      </c>
    </row>
    <row r="68" spans="1:18" ht="30" customHeight="1"/>
    <row r="69" spans="1:18" ht="19.5">
      <c r="A69" t="s">
        <v>29</v>
      </c>
      <c r="B69">
        <v>16</v>
      </c>
      <c r="C69" s="164" t="s">
        <v>113</v>
      </c>
      <c r="D69" s="21" t="str">
        <f>+'Worksheet 2'!$W$4</f>
        <v>Windcrest WO#J5121027-00234.01</v>
      </c>
      <c r="E69" s="22"/>
      <c r="F69" s="23"/>
      <c r="G69" s="22"/>
      <c r="H69" s="24"/>
      <c r="I69" s="25">
        <f>+'Worksheet 2'!$AR$1</f>
        <v>0</v>
      </c>
      <c r="J69" s="26"/>
      <c r="L69" s="164" t="s">
        <v>113</v>
      </c>
      <c r="M69" s="21" t="str">
        <f>+'Worksheet 2'!$W$4</f>
        <v>Windcrest WO#J5121027-00234.01</v>
      </c>
      <c r="N69" s="22"/>
      <c r="O69" s="23"/>
      <c r="P69" s="22"/>
      <c r="Q69" s="24"/>
      <c r="R69" s="25">
        <f>+'Worksheet 2'!$AR$1</f>
        <v>0</v>
      </c>
    </row>
    <row r="70" spans="1:18" ht="32.25">
      <c r="C70" s="165" t="s">
        <v>128</v>
      </c>
      <c r="D70" s="150" cm="1">
        <f t="array" aca="1" ref="D70" ca="1">INDIRECT("'Worksheet 2'!$K"&amp;$B69)</f>
        <v>44</v>
      </c>
      <c r="E70" s="151" t="s">
        <v>115</v>
      </c>
      <c r="F70" s="150" cm="1">
        <f t="array" aca="1" ref="F70" ca="1">INDIRECT("'Worksheet 2'!$M"&amp;$B69)</f>
        <v>13</v>
      </c>
      <c r="G70" s="151" t="s">
        <v>122</v>
      </c>
      <c r="H70" s="150" cm="1">
        <f t="array" aca="1" ref="H70" ca="1">INDIRECT("'Worksheet 2'!$O"&amp;$B69)</f>
        <v>83</v>
      </c>
      <c r="I70" s="29" t="str">
        <f>+IF('Worksheet 2'!$R$34=1,"Install",IF('Worksheet 2'!$R$34=2,"Ship",IF('Worksheet 2'!$R$34=3,"Deliver",IF('Worksheet 2'!$R$34=4,"Will Call"))))</f>
        <v>Install</v>
      </c>
      <c r="J70" s="30"/>
      <c r="L70" s="165" t="s">
        <v>128</v>
      </c>
      <c r="M70" s="150">
        <f t="shared" ref="M70:M78" ca="1" si="5">D70</f>
        <v>44</v>
      </c>
      <c r="N70" s="151" t="s">
        <v>115</v>
      </c>
      <c r="O70" s="152">
        <f ca="1">F70</f>
        <v>13</v>
      </c>
      <c r="P70" s="151" t="s">
        <v>122</v>
      </c>
      <c r="Q70" s="153">
        <f ca="1">H70</f>
        <v>83</v>
      </c>
      <c r="R70" s="29" t="str">
        <f>+IF('Worksheet 2'!$R$34=1,"Install",IF('Worksheet 2'!$R$34=2,"Ship",IF('Worksheet 2'!$R$34=3,"Deliver",IF('Worksheet 2'!$R$34=4,"Will Call"))))</f>
        <v>Install</v>
      </c>
    </row>
    <row r="71" spans="1:18" ht="12.75" customHeight="1">
      <c r="C71" s="164" t="s">
        <v>121</v>
      </c>
      <c r="D71" s="19">
        <f ca="1">+IF($D79="Left of Pair",((D70+F70)*'Worksheet 2'!AE75)/2,IF($D79="Panel",(D70+F70)*'Worksheet 2'!AE75,IF($H79="SOR",D70*2.5+6,IF($H79="SOR T&amp;B",D70*2.5+6))))</f>
        <v>0</v>
      </c>
      <c r="E71" s="19" t="s">
        <v>122</v>
      </c>
      <c r="F71" s="369">
        <f ca="1">H70+15</f>
        <v>98</v>
      </c>
      <c r="G71" s="448" cm="1">
        <f t="array" aca="1" ref="G71" ca="1">INDIRECT("'Worksheet 2'!$Y"&amp;$B69)</f>
        <v>0</v>
      </c>
      <c r="H71" s="448"/>
      <c r="I71" s="449"/>
      <c r="L71" s="164" t="s">
        <v>121</v>
      </c>
      <c r="M71">
        <f t="shared" ca="1" si="5"/>
        <v>0</v>
      </c>
      <c r="N71" s="19" t="s">
        <v>122</v>
      </c>
      <c r="O71" s="369">
        <f ca="1">F71</f>
        <v>98</v>
      </c>
      <c r="P71" s="450">
        <f ca="1">G71</f>
        <v>0</v>
      </c>
      <c r="Q71" s="450"/>
      <c r="R71" s="451"/>
    </row>
    <row r="72" spans="1:18" ht="19.5" customHeight="1">
      <c r="C72" s="166"/>
      <c r="D72" s="161" cm="1">
        <f t="array" aca="1" ref="D72" ca="1">IF($D79="Left of Pair",INDIRECT("'Worksheet 2'!$Q"&amp;$B69)/2,IF($D79="Panel",INDIRECT("'Worksheet 2'!$Q"&amp;$B69)))</f>
        <v>1</v>
      </c>
      <c r="E72" s="42" t="s">
        <v>41</v>
      </c>
      <c r="F72" s="370"/>
      <c r="G72" s="448"/>
      <c r="H72" s="448"/>
      <c r="I72" s="449"/>
      <c r="L72" s="166"/>
      <c r="M72" s="161">
        <f t="shared" ca="1" si="5"/>
        <v>1</v>
      </c>
      <c r="N72" s="42" t="s">
        <v>41</v>
      </c>
      <c r="O72" s="370"/>
      <c r="P72" s="450"/>
      <c r="Q72" s="452"/>
      <c r="R72" s="453"/>
    </row>
    <row r="73" spans="1:18" ht="15.75">
      <c r="C73" s="164" t="s">
        <v>135</v>
      </c>
      <c r="D73" s="19">
        <f ca="1">+IF(D77="yes",IF($D79="Left of Pair",($D74*$H77),IF($D79="Panel",$D74*$H77,IF($H79="SOR",$D74*$H77," ")))," ")</f>
        <v>69</v>
      </c>
      <c r="E73" s="19" t="s">
        <v>122</v>
      </c>
      <c r="F73" s="369">
        <f ca="1">IF(D77="YES",H70+12," ")</f>
        <v>95</v>
      </c>
      <c r="H73" s="343" t="s">
        <v>10</v>
      </c>
      <c r="I73" s="371" cm="1">
        <f t="array" aca="1" ref="I73" ca="1">INDIRECT("'Worksheet 2'!$Q"&amp;B69)</f>
        <v>2</v>
      </c>
      <c r="L73" s="164" t="s">
        <v>135</v>
      </c>
      <c r="M73">
        <f t="shared" ca="1" si="5"/>
        <v>69</v>
      </c>
      <c r="N73" s="19" t="s">
        <v>122</v>
      </c>
      <c r="O73" s="369">
        <f ca="1">F73</f>
        <v>95</v>
      </c>
      <c r="P73" s="19"/>
      <c r="Q73" s="343" t="s">
        <v>10</v>
      </c>
      <c r="R73" s="160">
        <f ca="1">I73</f>
        <v>2</v>
      </c>
    </row>
    <row r="74" spans="1:18">
      <c r="C74" s="167"/>
      <c r="D74" s="161" cm="1">
        <f t="array" aca="1" ref="D74" ca="1">IF(D77="yes",IF($D79="Left of Pair",INDIRECT("'Worksheet 2'!$S"&amp;$B69)/2,IF($D79="Panel",INDIRECT("'Worksheet 2'!$S"&amp;$B69)))," ")</f>
        <v>1.1499999999999999</v>
      </c>
      <c r="E74" s="345" t="s">
        <v>41</v>
      </c>
      <c r="F74" s="372"/>
      <c r="G74" s="20"/>
      <c r="H74" s="343" t="s">
        <v>116</v>
      </c>
      <c r="I74" s="32">
        <f ca="1">IF(D79="Left of Pair",(D70+F70)/2,D70+F70)</f>
        <v>28.5</v>
      </c>
      <c r="L74" s="167"/>
      <c r="M74" s="344">
        <f t="shared" ca="1" si="5"/>
        <v>1.1499999999999999</v>
      </c>
      <c r="N74" s="345" t="s">
        <v>41</v>
      </c>
      <c r="O74" s="372"/>
      <c r="P74" s="20"/>
      <c r="Q74" s="343" t="s">
        <v>116</v>
      </c>
      <c r="R74" s="32">
        <f ca="1">I74</f>
        <v>28.5</v>
      </c>
    </row>
    <row r="75" spans="1:18" ht="12.75" customHeight="1">
      <c r="C75" s="168" t="s">
        <v>114</v>
      </c>
      <c r="D75" s="373" t="str" cm="1">
        <f t="array" aca="1" ref="D75" ca="1">INDIRECT("'Worksheet 2'!$B"&amp;$B69)</f>
        <v>Bishop Valencia</v>
      </c>
      <c r="E75" s="22"/>
      <c r="F75" s="23"/>
      <c r="G75" s="22"/>
      <c r="H75" s="24"/>
      <c r="I75" s="445" t="str" cm="1">
        <f t="array" aca="1" ref="I75" ca="1">INDIRECT("'Worksheet 2'!$A"&amp;$B69)</f>
        <v>P2-26</v>
      </c>
      <c r="L75" s="168" t="s">
        <v>114</v>
      </c>
      <c r="M75" s="31" t="str">
        <f t="shared" ca="1" si="5"/>
        <v>Bishop Valencia</v>
      </c>
      <c r="N75" s="20"/>
      <c r="O75" s="33"/>
      <c r="P75" s="27"/>
      <c r="Q75" s="24"/>
      <c r="R75" s="445" t="str">
        <f ca="1">I75</f>
        <v>P2-26</v>
      </c>
    </row>
    <row r="76" spans="1:18" ht="15.75" customHeight="1">
      <c r="C76" s="164" t="s">
        <v>117</v>
      </c>
      <c r="D76" s="346" cm="1">
        <f t="array" aca="1" ref="D76" ca="1">INDIRECT("'Worksheet 2'!$H"&amp;$B69)</f>
        <v>3.5</v>
      </c>
      <c r="E76" s="20"/>
      <c r="F76" s="169" t="s">
        <v>118</v>
      </c>
      <c r="G76" s="35"/>
      <c r="H76" s="36" t="str">
        <f>+IF('Worksheet 2'!$R$38=TRUE,"Yes",IF('Worksheet 2'!$R$38=FALSE,"No"))</f>
        <v>Yes</v>
      </c>
      <c r="I76" s="446"/>
      <c r="L76" s="164" t="s">
        <v>117</v>
      </c>
      <c r="M76" s="34">
        <f t="shared" ca="1" si="5"/>
        <v>3.5</v>
      </c>
      <c r="N76" s="20"/>
      <c r="O76" s="169" t="s">
        <v>118</v>
      </c>
      <c r="P76" s="35"/>
      <c r="Q76" s="36" t="str">
        <f>H76</f>
        <v>Yes</v>
      </c>
      <c r="R76" s="446"/>
    </row>
    <row r="77" spans="1:18" ht="15.75" customHeight="1">
      <c r="C77" s="164" t="s">
        <v>119</v>
      </c>
      <c r="D77" s="37" t="str">
        <f ca="1">IF($E77&gt;0,"YES"," ")</f>
        <v>YES</v>
      </c>
      <c r="E77" s="347" t="str" cm="1">
        <f t="array" aca="1" ref="E77" ca="1">INDIRECT("'Worksheet 2'!$X"&amp;$B69)</f>
        <v xml:space="preserve">Flameguard </v>
      </c>
      <c r="F77" s="39"/>
      <c r="G77" s="20"/>
      <c r="H77" s="347" cm="1">
        <f t="array" aca="1" ref="H77" ca="1">INDIRECT("'Worksheet 2'!$R"&amp;$B69)</f>
        <v>60</v>
      </c>
      <c r="I77" s="446"/>
      <c r="J77" s="40"/>
      <c r="L77" s="164" t="s">
        <v>119</v>
      </c>
      <c r="M77" s="37" t="str">
        <f t="shared" ca="1" si="5"/>
        <v>YES</v>
      </c>
      <c r="N77" s="38" t="str">
        <f ca="1">E77</f>
        <v xml:space="preserve">Flameguard </v>
      </c>
      <c r="O77" s="39"/>
      <c r="P77" s="20"/>
      <c r="Q77" s="159">
        <f ca="1">H77</f>
        <v>60</v>
      </c>
      <c r="R77" s="446"/>
    </row>
    <row r="78" spans="1:18" ht="15.75" customHeight="1">
      <c r="C78" s="164" t="s">
        <v>13</v>
      </c>
      <c r="D78" s="347" t="str" cm="1">
        <f t="array" aca="1" ref="D78" ca="1">INDIRECT("'Worksheet 2'!$W"&amp;$B69)</f>
        <v>5th Avenue 72</v>
      </c>
      <c r="E78" s="22"/>
      <c r="F78" s="23"/>
      <c r="G78" s="22"/>
      <c r="H78" s="347" cm="1">
        <f t="array" aca="1" ref="H78" ca="1">INDIRECT("'Worksheet 2'!$P"&amp;$B69)</f>
        <v>72</v>
      </c>
      <c r="I78" s="447"/>
      <c r="L78" s="164" t="s">
        <v>13</v>
      </c>
      <c r="M78" s="21" t="str">
        <f t="shared" ca="1" si="5"/>
        <v>5th Avenue 72</v>
      </c>
      <c r="N78" s="22"/>
      <c r="O78" s="23"/>
      <c r="P78" s="22"/>
      <c r="Q78" s="159">
        <f ca="1">H78</f>
        <v>72</v>
      </c>
      <c r="R78" s="447"/>
    </row>
    <row r="79" spans="1:18" ht="23.25">
      <c r="C79" s="348" cm="1">
        <f t="array" aca="1" ref="C79" ca="1">INDIRECT("'Worksheet 2'!$J"&amp;$B69)</f>
        <v>0</v>
      </c>
      <c r="D79" s="444" t="str" cm="1">
        <f t="array" aca="1" ref="D79" ca="1">IF(INDIRECT("'Worksheet 2'!$D"&amp;$B69)=1, "Left of Pair", IF(INDIRECT("'Worksheet 2'!$E"&amp;$B69)=1, "Panel"))</f>
        <v>Left of Pair</v>
      </c>
      <c r="E79" s="444"/>
      <c r="F79" s="444"/>
      <c r="G79" s="374"/>
      <c r="H79" s="374" t="str" cm="1">
        <f t="array" aca="1" ref="H79" ca="1">IF(INDIRECT("'Worksheet 2'!$F"&amp;$B69)="st","SOR T&amp;B"," ")</f>
        <v xml:space="preserve"> </v>
      </c>
      <c r="I79" s="415">
        <f>IF(Worksheet!$D$46&gt;0,Worksheet!$D$46," ")</f>
        <v>30</v>
      </c>
      <c r="L79" s="41">
        <f ca="1">$C79</f>
        <v>0</v>
      </c>
      <c r="M79" s="444" t="str" cm="1">
        <f t="array" aca="1" ref="M79" ca="1">IF(INDIRECT("'Worksheet 2'!$D"&amp;$B69)=1, "Right of Pair", IF(INDIRECT("'Worksheet 2'!$E"&amp;$B69)=1, "Do Not Use"))</f>
        <v>Right of Pair</v>
      </c>
      <c r="N79" s="444"/>
      <c r="O79" s="444"/>
      <c r="P79" s="374"/>
      <c r="Q79" s="374"/>
      <c r="R79" s="415">
        <f>IF(Worksheet!$D$46&gt;0,Worksheet!$D$46," ")</f>
        <v>30</v>
      </c>
    </row>
    <row r="82" spans="1:18" ht="30" customHeight="1"/>
    <row r="83" spans="1:18" ht="19.5">
      <c r="A83" t="s">
        <v>30</v>
      </c>
      <c r="B83">
        <v>17</v>
      </c>
      <c r="C83" s="164" t="s">
        <v>113</v>
      </c>
      <c r="D83" s="21" t="str">
        <f>+'Worksheet 2'!$W$4</f>
        <v>Windcrest WO#J5121027-00234.01</v>
      </c>
      <c r="E83" s="22"/>
      <c r="F83" s="23"/>
      <c r="G83" s="22"/>
      <c r="H83" s="24"/>
      <c r="I83" s="25">
        <f>+'Worksheet 2'!$AR$1</f>
        <v>0</v>
      </c>
      <c r="J83" s="26"/>
      <c r="L83" s="164" t="s">
        <v>113</v>
      </c>
      <c r="M83" s="21" t="str">
        <f>+'Worksheet 2'!$W$4</f>
        <v>Windcrest WO#J5121027-00234.01</v>
      </c>
      <c r="N83" s="22"/>
      <c r="O83" s="23"/>
      <c r="P83" s="22"/>
      <c r="Q83" s="24"/>
      <c r="R83" s="25">
        <f>+'Worksheet 2'!$AR$1</f>
        <v>0</v>
      </c>
    </row>
    <row r="84" spans="1:18" ht="32.25">
      <c r="C84" s="165" t="s">
        <v>128</v>
      </c>
      <c r="D84" s="150" cm="1">
        <f t="array" aca="1" ref="D84" ca="1">INDIRECT("'Worksheet 2'!$K"&amp;$B83)</f>
        <v>40</v>
      </c>
      <c r="E84" s="151" t="s">
        <v>115</v>
      </c>
      <c r="F84" s="150" cm="1">
        <f t="array" aca="1" ref="F84" ca="1">INDIRECT("'Worksheet 2'!$M"&amp;$B83)</f>
        <v>13</v>
      </c>
      <c r="G84" s="151" t="s">
        <v>122</v>
      </c>
      <c r="H84" s="150" cm="1">
        <f t="array" aca="1" ref="H84" ca="1">INDIRECT("'Worksheet 2'!$O"&amp;$B83)</f>
        <v>144</v>
      </c>
      <c r="I84" s="29" t="str">
        <f>+IF('Worksheet 2'!$R$34=1,"Install",IF('Worksheet 2'!$R$34=2,"Ship",IF('Worksheet 2'!$R$34=3,"Deliver",IF('Worksheet 2'!$R$34=4,"Will Call"))))</f>
        <v>Install</v>
      </c>
      <c r="J84" s="30"/>
      <c r="L84" s="165" t="s">
        <v>128</v>
      </c>
      <c r="M84" s="150">
        <f t="shared" ref="M84:M92" ca="1" si="6">D84</f>
        <v>40</v>
      </c>
      <c r="N84" s="151" t="s">
        <v>115</v>
      </c>
      <c r="O84" s="152">
        <f ca="1">F84</f>
        <v>13</v>
      </c>
      <c r="P84" s="151" t="s">
        <v>122</v>
      </c>
      <c r="Q84" s="153">
        <f ca="1">H84</f>
        <v>144</v>
      </c>
      <c r="R84" s="29" t="str">
        <f>+IF('Worksheet 2'!$R$34=1,"Install",IF('Worksheet 2'!$R$34=2,"Ship",IF('Worksheet 2'!$R$34=3,"Deliver",IF('Worksheet 2'!$R$34=4,"Will Call"))))</f>
        <v>Install</v>
      </c>
    </row>
    <row r="85" spans="1:18" ht="12.75" customHeight="1">
      <c r="C85" s="164" t="s">
        <v>121</v>
      </c>
      <c r="D85" s="19">
        <f ca="1">+IF($D93="Left of Pair",((D84+F84)*'Worksheet 2'!AE89)/2,IF($D93="Panel",(D84+F84)*'Worksheet 2'!AE89,IF($H93="SOR",D84*2.5+6,IF($H93="SOR T&amp;B",D84*2.5+6))))</f>
        <v>0</v>
      </c>
      <c r="E85" s="19" t="s">
        <v>122</v>
      </c>
      <c r="F85" s="369">
        <f ca="1">H84+15</f>
        <v>159</v>
      </c>
      <c r="G85" s="448" cm="1">
        <f t="array" aca="1" ref="G85" ca="1">INDIRECT("'Worksheet 2'!$Y"&amp;$B83)</f>
        <v>0</v>
      </c>
      <c r="H85" s="448"/>
      <c r="I85" s="449"/>
      <c r="L85" s="164" t="s">
        <v>121</v>
      </c>
      <c r="M85">
        <f t="shared" ca="1" si="6"/>
        <v>0</v>
      </c>
      <c r="N85" s="19" t="s">
        <v>122</v>
      </c>
      <c r="O85" s="369">
        <f ca="1">F85</f>
        <v>159</v>
      </c>
      <c r="P85" s="450">
        <f ca="1">G85</f>
        <v>0</v>
      </c>
      <c r="Q85" s="450"/>
      <c r="R85" s="451"/>
    </row>
    <row r="86" spans="1:18" ht="19.5" customHeight="1">
      <c r="C86" s="166"/>
      <c r="D86" s="161" cm="1">
        <f t="array" aca="1" ref="D86" ca="1">IF($D93="Left of Pair",INDIRECT("'Worksheet 2'!$Q"&amp;$B83)/2,IF($D93="Panel",INDIRECT("'Worksheet 2'!$Q"&amp;$B83)))</f>
        <v>1.125</v>
      </c>
      <c r="E86" s="42" t="s">
        <v>41</v>
      </c>
      <c r="F86" s="370"/>
      <c r="G86" s="448"/>
      <c r="H86" s="448"/>
      <c r="I86" s="449"/>
      <c r="L86" s="166"/>
      <c r="M86" s="161">
        <f t="shared" ca="1" si="6"/>
        <v>1.125</v>
      </c>
      <c r="N86" s="42" t="s">
        <v>41</v>
      </c>
      <c r="O86" s="370"/>
      <c r="P86" s="450"/>
      <c r="Q86" s="452"/>
      <c r="R86" s="453"/>
    </row>
    <row r="87" spans="1:18" ht="15.75">
      <c r="C87" s="164" t="s">
        <v>135</v>
      </c>
      <c r="D87" s="19" t="str">
        <f ca="1">+IF(D91="yes",IF($D93="Left of Pair",($D88*$H91),IF($D93="Panel",$D88*$H91,IF($H93="SOR",$D88*$H91," ")))," ")</f>
        <v xml:space="preserve"> </v>
      </c>
      <c r="E87" s="19" t="s">
        <v>122</v>
      </c>
      <c r="F87" s="369" t="str">
        <f ca="1">IF(D91="YES",H84+12," ")</f>
        <v xml:space="preserve"> </v>
      </c>
      <c r="H87" s="343" t="s">
        <v>10</v>
      </c>
      <c r="I87" s="371" cm="1">
        <f t="array" aca="1" ref="I87" ca="1">INDIRECT("'Worksheet 2'!$Q"&amp;B83)</f>
        <v>2.25</v>
      </c>
      <c r="L87" s="164" t="s">
        <v>135</v>
      </c>
      <c r="M87" t="str">
        <f t="shared" ca="1" si="6"/>
        <v xml:space="preserve"> </v>
      </c>
      <c r="N87" s="19" t="s">
        <v>122</v>
      </c>
      <c r="O87" s="369" t="str">
        <f ca="1">F87</f>
        <v xml:space="preserve"> </v>
      </c>
      <c r="P87" s="19"/>
      <c r="Q87" s="343" t="s">
        <v>10</v>
      </c>
      <c r="R87" s="160">
        <f ca="1">I87</f>
        <v>2.25</v>
      </c>
    </row>
    <row r="88" spans="1:18">
      <c r="C88" s="167"/>
      <c r="D88" s="161" t="str" cm="1">
        <f t="array" aca="1" ref="D88" ca="1">IF(D91="yes",IF($D93="Left of Pair",INDIRECT("'Worksheet 2'!$S"&amp;$B83)/2,IF($D93="Panel",INDIRECT("'Worksheet 2'!$S"&amp;$B83)))," ")</f>
        <v xml:space="preserve"> </v>
      </c>
      <c r="E88" s="345" t="s">
        <v>41</v>
      </c>
      <c r="F88" s="372"/>
      <c r="G88" s="20"/>
      <c r="H88" s="343" t="s">
        <v>116</v>
      </c>
      <c r="I88" s="32">
        <f ca="1">IF(D93="Left of Pair",(D84+F84)/2,D84+F84)</f>
        <v>26.5</v>
      </c>
      <c r="L88" s="167"/>
      <c r="M88" s="344" t="str">
        <f t="shared" ca="1" si="6"/>
        <v xml:space="preserve"> </v>
      </c>
      <c r="N88" s="345" t="s">
        <v>41</v>
      </c>
      <c r="O88" s="372"/>
      <c r="P88" s="20"/>
      <c r="Q88" s="343" t="s">
        <v>116</v>
      </c>
      <c r="R88" s="32">
        <f ca="1">I88</f>
        <v>26.5</v>
      </c>
    </row>
    <row r="89" spans="1:18" ht="12.75" customHeight="1">
      <c r="C89" s="168" t="s">
        <v>114</v>
      </c>
      <c r="D89" s="373" t="str" cm="1">
        <f t="array" aca="1" ref="D89" ca="1">INDIRECT("'Worksheet 2'!$B"&amp;$B83)</f>
        <v>Chapel</v>
      </c>
      <c r="E89" s="22"/>
      <c r="F89" s="23"/>
      <c r="G89" s="22"/>
      <c r="H89" s="24"/>
      <c r="I89" s="445" t="str" cm="1">
        <f t="array" aca="1" ref="I89" ca="1">INDIRECT("'Worksheet 2'!$A"&amp;$B83)</f>
        <v>P2-27</v>
      </c>
      <c r="L89" s="168" t="s">
        <v>114</v>
      </c>
      <c r="M89" s="31" t="str">
        <f t="shared" ca="1" si="6"/>
        <v>Chapel</v>
      </c>
      <c r="N89" s="20"/>
      <c r="O89" s="33"/>
      <c r="P89" s="27"/>
      <c r="Q89" s="24"/>
      <c r="R89" s="445" t="str">
        <f ca="1">I89</f>
        <v>P2-27</v>
      </c>
    </row>
    <row r="90" spans="1:18" ht="15.75" customHeight="1">
      <c r="C90" s="164" t="s">
        <v>117</v>
      </c>
      <c r="D90" s="346" cm="1">
        <f t="array" aca="1" ref="D90" ca="1">INDIRECT("'Worksheet 2'!$H"&amp;$B83)</f>
        <v>3.5</v>
      </c>
      <c r="E90" s="20"/>
      <c r="F90" s="169" t="s">
        <v>118</v>
      </c>
      <c r="G90" s="35"/>
      <c r="H90" s="36" t="str">
        <f>+IF('Worksheet 2'!$R$38=TRUE,"Yes",IF('Worksheet 2'!$R$38=FALSE,"No"))</f>
        <v>Yes</v>
      </c>
      <c r="I90" s="446"/>
      <c r="L90" s="164" t="s">
        <v>117</v>
      </c>
      <c r="M90" s="34">
        <f t="shared" ca="1" si="6"/>
        <v>3.5</v>
      </c>
      <c r="N90" s="20"/>
      <c r="O90" s="169" t="s">
        <v>118</v>
      </c>
      <c r="P90" s="35"/>
      <c r="Q90" s="36" t="str">
        <f>H90</f>
        <v>Yes</v>
      </c>
      <c r="R90" s="446"/>
    </row>
    <row r="91" spans="1:18" ht="15.75" customHeight="1">
      <c r="C91" s="164" t="s">
        <v>119</v>
      </c>
      <c r="D91" s="37" t="str">
        <f ca="1">IF($E91&gt;0,"YES"," ")</f>
        <v xml:space="preserve"> </v>
      </c>
      <c r="E91" s="347" cm="1">
        <f t="array" aca="1" ref="E91" ca="1">INDIRECT("'Worksheet 2'!$X"&amp;$B83)</f>
        <v>0</v>
      </c>
      <c r="F91" s="39"/>
      <c r="G91" s="20"/>
      <c r="H91" s="347" t="str" cm="1">
        <f t="array" aca="1" ref="H91" ca="1">INDIRECT("'Worksheet 2'!$R"&amp;$B83)</f>
        <v xml:space="preserve"> </v>
      </c>
      <c r="I91" s="446"/>
      <c r="J91" s="40"/>
      <c r="L91" s="164" t="s">
        <v>119</v>
      </c>
      <c r="M91" s="37" t="str">
        <f t="shared" ca="1" si="6"/>
        <v xml:space="preserve"> </v>
      </c>
      <c r="N91" s="38">
        <f ca="1">E91</f>
        <v>0</v>
      </c>
      <c r="O91" s="39"/>
      <c r="P91" s="20"/>
      <c r="Q91" s="159" t="str">
        <f ca="1">H91</f>
        <v xml:space="preserve"> </v>
      </c>
      <c r="R91" s="446"/>
    </row>
    <row r="92" spans="1:18" ht="15.75" customHeight="1">
      <c r="C92" s="164" t="s">
        <v>13</v>
      </c>
      <c r="D92" s="347" t="str" cm="1">
        <f t="array" aca="1" ref="D92" ca="1">INDIRECT("'Worksheet 2'!$W"&amp;$B83)</f>
        <v xml:space="preserve">Liteless </v>
      </c>
      <c r="E92" s="22"/>
      <c r="F92" s="23"/>
      <c r="G92" s="22"/>
      <c r="H92" s="347" cm="1">
        <f t="array" aca="1" ref="H92" ca="1">INDIRECT("'Worksheet 2'!$P"&amp;$B83)</f>
        <v>60</v>
      </c>
      <c r="I92" s="447"/>
      <c r="L92" s="164" t="s">
        <v>13</v>
      </c>
      <c r="M92" s="21" t="str">
        <f t="shared" ca="1" si="6"/>
        <v xml:space="preserve">Liteless </v>
      </c>
      <c r="N92" s="22"/>
      <c r="O92" s="23"/>
      <c r="P92" s="22"/>
      <c r="Q92" s="159">
        <f ca="1">H92</f>
        <v>60</v>
      </c>
      <c r="R92" s="447"/>
    </row>
    <row r="93" spans="1:18" ht="23.25">
      <c r="C93" s="348" cm="1">
        <f t="array" aca="1" ref="C93" ca="1">INDIRECT("'Worksheet 2'!$J"&amp;$B83)</f>
        <v>0</v>
      </c>
      <c r="D93" s="444" t="str" cm="1">
        <f t="array" aca="1" ref="D93" ca="1">IF(INDIRECT("'Worksheet 2'!$D"&amp;$B83)=1, "Left of Pair", IF(INDIRECT("'Worksheet 2'!$E"&amp;$B83)=1, "Panel"))</f>
        <v>Left of Pair</v>
      </c>
      <c r="E93" s="444"/>
      <c r="F93" s="444"/>
      <c r="G93" s="374"/>
      <c r="H93" s="374" t="str" cm="1">
        <f t="array" aca="1" ref="H93" ca="1">IF(INDIRECT("'Worksheet 2'!$F"&amp;$B83)="st","SOR T&amp;B"," ")</f>
        <v xml:space="preserve"> </v>
      </c>
      <c r="I93" s="415">
        <f>IF(Worksheet!$D$46&gt;0,Worksheet!$D$46," ")</f>
        <v>30</v>
      </c>
      <c r="L93" s="41">
        <f ca="1">$C93</f>
        <v>0</v>
      </c>
      <c r="M93" s="444" t="str" cm="1">
        <f t="array" aca="1" ref="M93" ca="1">IF(INDIRECT("'Worksheet 2'!$D"&amp;$B83)=1, "Right of Pair", IF(INDIRECT("'Worksheet 2'!$E"&amp;$B83)=1, "Do Not Use"))</f>
        <v>Right of Pair</v>
      </c>
      <c r="N93" s="444"/>
      <c r="O93" s="444"/>
      <c r="P93" s="374"/>
      <c r="Q93" s="374"/>
      <c r="R93" s="415">
        <f>IF(Worksheet!$D$46&gt;0,Worksheet!$D$46," ")</f>
        <v>30</v>
      </c>
    </row>
    <row r="95" spans="1:18">
      <c r="O95" s="18" t="s">
        <v>107</v>
      </c>
    </row>
    <row r="96" spans="1:18" ht="30" customHeight="1"/>
    <row r="97" spans="1:18" ht="19.5">
      <c r="A97" t="s">
        <v>31</v>
      </c>
      <c r="B97">
        <v>18</v>
      </c>
      <c r="C97" s="164" t="s">
        <v>113</v>
      </c>
      <c r="D97" s="21" t="str">
        <f>+'Worksheet 2'!$W$4</f>
        <v>Windcrest WO#J5121027-00234.01</v>
      </c>
      <c r="E97" s="22"/>
      <c r="F97" s="23"/>
      <c r="G97" s="22"/>
      <c r="H97" s="24"/>
      <c r="I97" s="25">
        <f>+'Worksheet 2'!$AR$1</f>
        <v>0</v>
      </c>
      <c r="J97" s="26"/>
      <c r="L97" s="164" t="s">
        <v>113</v>
      </c>
      <c r="M97" s="21" t="str">
        <f>+'Worksheet 2'!$W$4</f>
        <v>Windcrest WO#J5121027-00234.01</v>
      </c>
      <c r="N97" s="22"/>
      <c r="O97" s="23"/>
      <c r="P97" s="22"/>
      <c r="Q97" s="24"/>
      <c r="R97" s="25">
        <f>+'Worksheet 2'!$AR$1</f>
        <v>0</v>
      </c>
    </row>
    <row r="98" spans="1:18" ht="32.25">
      <c r="C98" s="165" t="s">
        <v>128</v>
      </c>
      <c r="D98" s="150" cm="1">
        <f t="array" aca="1" ref="D98" ca="1">INDIRECT("'Worksheet 2'!$K"&amp;$B97)</f>
        <v>40</v>
      </c>
      <c r="E98" s="151" t="s">
        <v>115</v>
      </c>
      <c r="F98" s="150" cm="1">
        <f t="array" aca="1" ref="F98" ca="1">INDIRECT("'Worksheet 2'!$M"&amp;$B97)</f>
        <v>13</v>
      </c>
      <c r="G98" s="151" t="s">
        <v>122</v>
      </c>
      <c r="H98" s="150" cm="1">
        <f t="array" aca="1" ref="H98" ca="1">INDIRECT("'Worksheet 2'!$O"&amp;$B97)</f>
        <v>144</v>
      </c>
      <c r="I98" s="29" t="str">
        <f>+IF('Worksheet 2'!$R$34=1,"Install",IF('Worksheet 2'!$R$34=2,"Ship",IF('Worksheet 2'!$R$34=3,"Deliver",IF('Worksheet 2'!$R$34=4,"Will Call"))))</f>
        <v>Install</v>
      </c>
      <c r="J98" s="30"/>
      <c r="L98" s="165" t="s">
        <v>128</v>
      </c>
      <c r="M98" s="150">
        <f t="shared" ref="M98:M106" ca="1" si="7">D98</f>
        <v>40</v>
      </c>
      <c r="N98" s="151" t="s">
        <v>115</v>
      </c>
      <c r="O98" s="152">
        <f ca="1">F98</f>
        <v>13</v>
      </c>
      <c r="P98" s="151" t="s">
        <v>122</v>
      </c>
      <c r="Q98" s="153">
        <f ca="1">H98</f>
        <v>144</v>
      </c>
      <c r="R98" s="29" t="str">
        <f>+IF('Worksheet 2'!$R$34=1,"Install",IF('Worksheet 2'!$R$34=2,"Ship",IF('Worksheet 2'!$R$34=3,"Deliver",IF('Worksheet 2'!$R$34=4,"Will Call"))))</f>
        <v>Install</v>
      </c>
    </row>
    <row r="99" spans="1:18" ht="12.75" customHeight="1">
      <c r="C99" s="164" t="s">
        <v>121</v>
      </c>
      <c r="D99" s="19">
        <f ca="1">+IF($D107="Left of Pair",((D98+F98)*'Worksheet 2'!AE103)/2,IF($D107="Panel",(D98+F98)*'Worksheet 2'!AE103,IF($H107="SOR",D98*2.5+6,IF($H107="SOR T&amp;B",D98*2.5+6))))</f>
        <v>0</v>
      </c>
      <c r="E99" s="19" t="s">
        <v>122</v>
      </c>
      <c r="F99" s="369">
        <f ca="1">H98+15</f>
        <v>159</v>
      </c>
      <c r="G99" s="448" cm="1">
        <f t="array" aca="1" ref="G99" ca="1">INDIRECT("'Worksheet 2'!$Y"&amp;$B97)</f>
        <v>0</v>
      </c>
      <c r="H99" s="448"/>
      <c r="I99" s="449"/>
      <c r="L99" s="164" t="s">
        <v>121</v>
      </c>
      <c r="M99">
        <f t="shared" ca="1" si="7"/>
        <v>0</v>
      </c>
      <c r="N99" s="19" t="s">
        <v>122</v>
      </c>
      <c r="O99" s="369">
        <f ca="1">F99</f>
        <v>159</v>
      </c>
      <c r="P99" s="450">
        <f ca="1">G99</f>
        <v>0</v>
      </c>
      <c r="Q99" s="450"/>
      <c r="R99" s="451"/>
    </row>
    <row r="100" spans="1:18" ht="19.5" customHeight="1">
      <c r="C100" s="166"/>
      <c r="D100" s="161" cm="1">
        <f t="array" aca="1" ref="D100" ca="1">IF($D107="Left of Pair",INDIRECT("'Worksheet 2'!$Q"&amp;$B97)/2,IF($D107="Panel",INDIRECT("'Worksheet 2'!$Q"&amp;$B97)))</f>
        <v>1.125</v>
      </c>
      <c r="E100" s="42" t="s">
        <v>41</v>
      </c>
      <c r="F100" s="370"/>
      <c r="G100" s="448"/>
      <c r="H100" s="448"/>
      <c r="I100" s="449"/>
      <c r="L100" s="166"/>
      <c r="M100" s="161">
        <f t="shared" ca="1" si="7"/>
        <v>1.125</v>
      </c>
      <c r="N100" s="42" t="s">
        <v>41</v>
      </c>
      <c r="O100" s="370"/>
      <c r="P100" s="450"/>
      <c r="Q100" s="452"/>
      <c r="R100" s="453"/>
    </row>
    <row r="101" spans="1:18" ht="15.75">
      <c r="C101" s="164" t="s">
        <v>135</v>
      </c>
      <c r="D101" s="19" t="str">
        <f ca="1">+IF(D105="yes",IF($D107="Left of Pair",($D102*$H105),IF($D107="Panel",$D102*$H105,IF($H107="SOR",$D102*$H105," ")))," ")</f>
        <v xml:space="preserve"> </v>
      </c>
      <c r="E101" s="19" t="s">
        <v>122</v>
      </c>
      <c r="F101" s="369" t="str">
        <f ca="1">IF(D105="YES",H98+12," ")</f>
        <v xml:space="preserve"> </v>
      </c>
      <c r="H101" s="343" t="s">
        <v>10</v>
      </c>
      <c r="I101" s="371" cm="1">
        <f t="array" aca="1" ref="I101" ca="1">INDIRECT("'Worksheet 2'!$Q"&amp;B97)</f>
        <v>2.25</v>
      </c>
      <c r="L101" s="164" t="s">
        <v>135</v>
      </c>
      <c r="M101" t="str">
        <f t="shared" ca="1" si="7"/>
        <v xml:space="preserve"> </v>
      </c>
      <c r="N101" s="19" t="s">
        <v>122</v>
      </c>
      <c r="O101" s="369" t="str">
        <f ca="1">F101</f>
        <v xml:space="preserve"> </v>
      </c>
      <c r="P101" s="19"/>
      <c r="Q101" s="343" t="s">
        <v>10</v>
      </c>
      <c r="R101" s="160">
        <f ca="1">I101</f>
        <v>2.25</v>
      </c>
    </row>
    <row r="102" spans="1:18">
      <c r="C102" s="167"/>
      <c r="D102" s="161" t="str" cm="1">
        <f t="array" aca="1" ref="D102" ca="1">IF(D105="yes",IF($D107="Left of Pair",INDIRECT("'Worksheet 2'!$S"&amp;$B97)/2,IF($D107="Panel",INDIRECT("'Worksheet 2'!$S"&amp;$B97)))," ")</f>
        <v xml:space="preserve"> </v>
      </c>
      <c r="E102" s="345" t="s">
        <v>41</v>
      </c>
      <c r="F102" s="372"/>
      <c r="G102" s="20"/>
      <c r="H102" s="343" t="s">
        <v>116</v>
      </c>
      <c r="I102" s="32">
        <f ca="1">IF(D107="Left of Pair",(D98+F98)/2,D98+F98)</f>
        <v>26.5</v>
      </c>
      <c r="L102" s="167"/>
      <c r="M102" s="344" t="str">
        <f t="shared" ca="1" si="7"/>
        <v xml:space="preserve"> </v>
      </c>
      <c r="N102" s="345" t="s">
        <v>41</v>
      </c>
      <c r="O102" s="372"/>
      <c r="P102" s="20"/>
      <c r="Q102" s="343" t="s">
        <v>116</v>
      </c>
      <c r="R102" s="32">
        <f ca="1">I102</f>
        <v>26.5</v>
      </c>
    </row>
    <row r="103" spans="1:18" ht="12.75" customHeight="1">
      <c r="C103" s="168" t="s">
        <v>114</v>
      </c>
      <c r="D103" s="373" t="str" cm="1">
        <f t="array" aca="1" ref="D103" ca="1">INDIRECT("'Worksheet 2'!$B"&amp;$B97)</f>
        <v>Chapel</v>
      </c>
      <c r="E103" s="22"/>
      <c r="F103" s="23"/>
      <c r="G103" s="22"/>
      <c r="H103" s="24"/>
      <c r="I103" s="445" t="str" cm="1">
        <f t="array" aca="1" ref="I103" ca="1">INDIRECT("'Worksheet 2'!$A"&amp;$B97)</f>
        <v>P2-28</v>
      </c>
      <c r="L103" s="168" t="s">
        <v>114</v>
      </c>
      <c r="M103" s="31" t="str">
        <f t="shared" ca="1" si="7"/>
        <v>Chapel</v>
      </c>
      <c r="N103" s="20"/>
      <c r="O103" s="33"/>
      <c r="P103" s="27"/>
      <c r="Q103" s="24"/>
      <c r="R103" s="445" t="str">
        <f ca="1">I103</f>
        <v>P2-28</v>
      </c>
    </row>
    <row r="104" spans="1:18" ht="15.75" customHeight="1">
      <c r="C104" s="164" t="s">
        <v>117</v>
      </c>
      <c r="D104" s="346" cm="1">
        <f t="array" aca="1" ref="D104" ca="1">INDIRECT("'Worksheet 2'!$H"&amp;$B97)</f>
        <v>3.5</v>
      </c>
      <c r="E104" s="20"/>
      <c r="F104" s="169" t="s">
        <v>118</v>
      </c>
      <c r="G104" s="35"/>
      <c r="H104" s="36" t="str">
        <f>+IF('Worksheet 2'!$R$38=TRUE,"Yes",IF('Worksheet 2'!$R$38=FALSE,"No"))</f>
        <v>Yes</v>
      </c>
      <c r="I104" s="446"/>
      <c r="L104" s="164" t="s">
        <v>117</v>
      </c>
      <c r="M104" s="34">
        <f t="shared" ca="1" si="7"/>
        <v>3.5</v>
      </c>
      <c r="N104" s="20"/>
      <c r="O104" s="169" t="s">
        <v>118</v>
      </c>
      <c r="P104" s="35"/>
      <c r="Q104" s="36" t="str">
        <f>H104</f>
        <v>Yes</v>
      </c>
      <c r="R104" s="446"/>
    </row>
    <row r="105" spans="1:18" ht="15.75" customHeight="1">
      <c r="C105" s="164" t="s">
        <v>119</v>
      </c>
      <c r="D105" s="37" t="str">
        <f ca="1">IF($E105&gt;0,"YES"," ")</f>
        <v xml:space="preserve"> </v>
      </c>
      <c r="E105" s="347" cm="1">
        <f t="array" aca="1" ref="E105" ca="1">INDIRECT("'Worksheet 2'!$X"&amp;$B97)</f>
        <v>0</v>
      </c>
      <c r="F105" s="39"/>
      <c r="G105" s="20"/>
      <c r="H105" s="347" t="str" cm="1">
        <f t="array" aca="1" ref="H105" ca="1">INDIRECT("'Worksheet 2'!$R"&amp;$B97)</f>
        <v xml:space="preserve"> </v>
      </c>
      <c r="I105" s="446"/>
      <c r="J105" s="40"/>
      <c r="L105" s="164" t="s">
        <v>119</v>
      </c>
      <c r="M105" s="37" t="str">
        <f t="shared" ca="1" si="7"/>
        <v xml:space="preserve"> </v>
      </c>
      <c r="N105" s="38">
        <f ca="1">E105</f>
        <v>0</v>
      </c>
      <c r="O105" s="39"/>
      <c r="P105" s="20"/>
      <c r="Q105" s="159" t="str">
        <f ca="1">H105</f>
        <v xml:space="preserve"> </v>
      </c>
      <c r="R105" s="446"/>
    </row>
    <row r="106" spans="1:18" ht="15.75" customHeight="1">
      <c r="C106" s="164" t="s">
        <v>13</v>
      </c>
      <c r="D106" s="347" t="str" cm="1">
        <f t="array" aca="1" ref="D106" ca="1">INDIRECT("'Worksheet 2'!$W"&amp;$B97)</f>
        <v xml:space="preserve">Liteless </v>
      </c>
      <c r="E106" s="22"/>
      <c r="F106" s="23"/>
      <c r="G106" s="22"/>
      <c r="H106" s="347" cm="1">
        <f t="array" aca="1" ref="H106" ca="1">INDIRECT("'Worksheet 2'!$P"&amp;$B97)</f>
        <v>60</v>
      </c>
      <c r="I106" s="447"/>
      <c r="L106" s="164" t="s">
        <v>13</v>
      </c>
      <c r="M106" s="21" t="str">
        <f t="shared" ca="1" si="7"/>
        <v xml:space="preserve">Liteless </v>
      </c>
      <c r="N106" s="22"/>
      <c r="O106" s="23"/>
      <c r="P106" s="22"/>
      <c r="Q106" s="159">
        <f ca="1">H106</f>
        <v>60</v>
      </c>
      <c r="R106" s="447"/>
    </row>
    <row r="107" spans="1:18" ht="23.25">
      <c r="C107" s="348" cm="1">
        <f t="array" aca="1" ref="C107" ca="1">INDIRECT("'Worksheet 2'!$J"&amp;$B97)</f>
        <v>0</v>
      </c>
      <c r="D107" s="444" t="str" cm="1">
        <f t="array" aca="1" ref="D107" ca="1">IF(INDIRECT("'Worksheet 2'!$D"&amp;$B97)=1, "Left of Pair", IF(INDIRECT("'Worksheet 2'!$E"&amp;$B97)=1, "Panel"))</f>
        <v>Left of Pair</v>
      </c>
      <c r="E107" s="444"/>
      <c r="F107" s="444"/>
      <c r="G107" s="374"/>
      <c r="H107" s="374" t="str" cm="1">
        <f t="array" aca="1" ref="H107" ca="1">IF(INDIRECT("'Worksheet 2'!$F"&amp;$B97)="st","SOR T&amp;B"," ")</f>
        <v xml:space="preserve"> </v>
      </c>
      <c r="I107" s="415">
        <f>IF(Worksheet!$D$46&gt;0,Worksheet!$D$46," ")</f>
        <v>30</v>
      </c>
      <c r="L107" s="41">
        <f ca="1">$C107</f>
        <v>0</v>
      </c>
      <c r="M107" s="444" t="str" cm="1">
        <f t="array" aca="1" ref="M107" ca="1">IF(INDIRECT("'Worksheet 2'!$D"&amp;$B97)=1, "Right of Pair", IF(INDIRECT("'Worksheet 2'!$E"&amp;$B97)=1, "Do Not Use"))</f>
        <v>Right of Pair</v>
      </c>
      <c r="N107" s="444"/>
      <c r="O107" s="444"/>
      <c r="P107" s="374"/>
      <c r="Q107" s="374"/>
      <c r="R107" s="415">
        <f>IF(Worksheet!$D$46&gt;0,Worksheet!$D$46," ")</f>
        <v>30</v>
      </c>
    </row>
    <row r="109" spans="1:18" ht="19.5">
      <c r="A109" t="s">
        <v>32</v>
      </c>
      <c r="B109">
        <v>19</v>
      </c>
      <c r="C109" s="164" t="s">
        <v>113</v>
      </c>
      <c r="D109" s="21" t="str">
        <f>+'Worksheet 2'!$W$4</f>
        <v>Windcrest WO#J5121027-00234.01</v>
      </c>
      <c r="E109" s="22"/>
      <c r="F109" s="23"/>
      <c r="G109" s="22"/>
      <c r="H109" s="24"/>
      <c r="I109" s="25">
        <f>+'Worksheet 2'!$AR$1</f>
        <v>0</v>
      </c>
      <c r="J109" s="26"/>
      <c r="L109" s="164" t="s">
        <v>113</v>
      </c>
      <c r="M109" s="21" t="str">
        <f>+'Worksheet 2'!$W$4</f>
        <v>Windcrest WO#J5121027-00234.01</v>
      </c>
      <c r="N109" s="22"/>
      <c r="O109" s="23"/>
      <c r="P109" s="22"/>
      <c r="Q109" s="24"/>
      <c r="R109" s="25">
        <f>+'Worksheet 2'!$AR$1</f>
        <v>0</v>
      </c>
    </row>
    <row r="110" spans="1:18" ht="32.25">
      <c r="C110" s="165" t="s">
        <v>128</v>
      </c>
      <c r="D110" s="150" cm="1">
        <f t="array" aca="1" ref="D110" ca="1">INDIRECT("'Worksheet 2'!$K"&amp;$B109)</f>
        <v>40</v>
      </c>
      <c r="E110" s="151" t="s">
        <v>115</v>
      </c>
      <c r="F110" s="150" cm="1">
        <f t="array" aca="1" ref="F110" ca="1">INDIRECT("'Worksheet 2'!$M"&amp;$B109)</f>
        <v>13</v>
      </c>
      <c r="G110" s="151" t="s">
        <v>122</v>
      </c>
      <c r="H110" s="150" cm="1">
        <f t="array" aca="1" ref="H110" ca="1">INDIRECT("'Worksheet 2'!$O"&amp;$B109)</f>
        <v>144</v>
      </c>
      <c r="I110" s="29" t="str">
        <f>+IF('Worksheet 2'!$R$34=1,"Install",IF('Worksheet 2'!$R$34=2,"Ship",IF('Worksheet 2'!$R$34=3,"Deliver",IF('Worksheet 2'!$R$34=4,"Will Call"))))</f>
        <v>Install</v>
      </c>
      <c r="J110" s="30"/>
      <c r="L110" s="165" t="s">
        <v>128</v>
      </c>
      <c r="M110" s="150">
        <f t="shared" ref="M110:M118" ca="1" si="8">D110</f>
        <v>40</v>
      </c>
      <c r="N110" s="151" t="s">
        <v>115</v>
      </c>
      <c r="O110" s="152">
        <f ca="1">F110</f>
        <v>13</v>
      </c>
      <c r="P110" s="151" t="s">
        <v>122</v>
      </c>
      <c r="Q110" s="153">
        <f ca="1">H110</f>
        <v>144</v>
      </c>
      <c r="R110" s="29" t="str">
        <f>+IF('Worksheet 2'!$R$34=1,"Install",IF('Worksheet 2'!$R$34=2,"Ship",IF('Worksheet 2'!$R$34=3,"Deliver",IF('Worksheet 2'!$R$34=4,"Will Call"))))</f>
        <v>Install</v>
      </c>
    </row>
    <row r="111" spans="1:18" ht="12.75" customHeight="1">
      <c r="C111" s="164" t="s">
        <v>121</v>
      </c>
      <c r="D111" s="19">
        <f ca="1">+IF($D119="Left of Pair",((D110+F110)*'Worksheet 2'!AE115)/2,IF($D119="Panel",(D110+F110)*'Worksheet 2'!AE115,IF($H119="SOR",D110*2.5+6,IF($H119="SOR T&amp;B",D110*2.5+6))))</f>
        <v>0</v>
      </c>
      <c r="E111" s="19" t="s">
        <v>122</v>
      </c>
      <c r="F111" s="369">
        <f ca="1">H110+15</f>
        <v>159</v>
      </c>
      <c r="G111" s="448" cm="1">
        <f t="array" aca="1" ref="G111" ca="1">INDIRECT("'Worksheet 2'!$Y"&amp;$B109)</f>
        <v>0</v>
      </c>
      <c r="H111" s="448"/>
      <c r="I111" s="449"/>
      <c r="L111" s="164" t="s">
        <v>121</v>
      </c>
      <c r="M111">
        <f t="shared" ca="1" si="8"/>
        <v>0</v>
      </c>
      <c r="N111" s="19" t="s">
        <v>122</v>
      </c>
      <c r="O111" s="369">
        <f ca="1">F111</f>
        <v>159</v>
      </c>
      <c r="P111" s="450">
        <f ca="1">G111</f>
        <v>0</v>
      </c>
      <c r="Q111" s="450"/>
      <c r="R111" s="451"/>
    </row>
    <row r="112" spans="1:18" ht="19.5" customHeight="1">
      <c r="C112" s="166"/>
      <c r="D112" s="161" cm="1">
        <f t="array" aca="1" ref="D112" ca="1">IF($D119="Left of Pair",INDIRECT("'Worksheet 2'!$Q"&amp;$B109)/2,IF($D119="Panel",INDIRECT("'Worksheet 2'!$Q"&amp;$B109)))</f>
        <v>1.125</v>
      </c>
      <c r="E112" s="42" t="s">
        <v>41</v>
      </c>
      <c r="F112" s="370"/>
      <c r="G112" s="448"/>
      <c r="H112" s="448"/>
      <c r="I112" s="449"/>
      <c r="L112" s="166"/>
      <c r="M112" s="161">
        <f t="shared" ca="1" si="8"/>
        <v>1.125</v>
      </c>
      <c r="N112" s="42" t="s">
        <v>41</v>
      </c>
      <c r="O112" s="370"/>
      <c r="P112" s="450"/>
      <c r="Q112" s="452"/>
      <c r="R112" s="453"/>
    </row>
    <row r="113" spans="1:18" ht="15.75">
      <c r="C113" s="164" t="s">
        <v>135</v>
      </c>
      <c r="D113" s="19" t="str">
        <f ca="1">+IF(D117="yes",IF($D119="Left of Pair",($D114*$H117),IF($D119="Panel",$D114*$H117,IF($H119="SOR",$D114*$H117," ")))," ")</f>
        <v xml:space="preserve"> </v>
      </c>
      <c r="E113" s="19" t="s">
        <v>122</v>
      </c>
      <c r="F113" s="369" t="str">
        <f ca="1">IF(D117="YES",H110+12," ")</f>
        <v xml:space="preserve"> </v>
      </c>
      <c r="H113" s="343" t="s">
        <v>10</v>
      </c>
      <c r="I113" s="371" cm="1">
        <f t="array" aca="1" ref="I113" ca="1">INDIRECT("'Worksheet 2'!$Q"&amp;B109)</f>
        <v>2.25</v>
      </c>
      <c r="L113" s="164" t="s">
        <v>135</v>
      </c>
      <c r="M113" t="str">
        <f t="shared" ca="1" si="8"/>
        <v xml:space="preserve"> </v>
      </c>
      <c r="N113" s="19" t="s">
        <v>122</v>
      </c>
      <c r="O113" s="369" t="str">
        <f ca="1">F113</f>
        <v xml:space="preserve"> </v>
      </c>
      <c r="P113" s="19"/>
      <c r="Q113" s="343" t="s">
        <v>10</v>
      </c>
      <c r="R113" s="160">
        <f ca="1">I113</f>
        <v>2.25</v>
      </c>
    </row>
    <row r="114" spans="1:18">
      <c r="C114" s="167"/>
      <c r="D114" s="161" t="str" cm="1">
        <f t="array" aca="1" ref="D114" ca="1">IF(D117="yes",IF($D119="Left of Pair",INDIRECT("'Worksheet 2'!$S"&amp;$B109)/2,IF($D119="Panel",INDIRECT("'Worksheet 2'!$S"&amp;$B109)))," ")</f>
        <v xml:space="preserve"> </v>
      </c>
      <c r="E114" s="345" t="s">
        <v>41</v>
      </c>
      <c r="F114" s="372"/>
      <c r="G114" s="20"/>
      <c r="H114" s="343" t="s">
        <v>116</v>
      </c>
      <c r="I114" s="32">
        <f ca="1">IF(D119="Left of Pair",(D110+F110)/2,D110+F110)</f>
        <v>26.5</v>
      </c>
      <c r="L114" s="167"/>
      <c r="M114" s="344" t="str">
        <f t="shared" ca="1" si="8"/>
        <v xml:space="preserve"> </v>
      </c>
      <c r="N114" s="345" t="s">
        <v>41</v>
      </c>
      <c r="O114" s="372"/>
      <c r="P114" s="20"/>
      <c r="Q114" s="343" t="s">
        <v>116</v>
      </c>
      <c r="R114" s="32">
        <f ca="1">I114</f>
        <v>26.5</v>
      </c>
    </row>
    <row r="115" spans="1:18" ht="12.75" customHeight="1">
      <c r="C115" s="168" t="s">
        <v>114</v>
      </c>
      <c r="D115" s="373" t="str" cm="1">
        <f t="array" aca="1" ref="D115" ca="1">INDIRECT("'Worksheet 2'!$B"&amp;$B109)</f>
        <v>Chapel</v>
      </c>
      <c r="E115" s="22"/>
      <c r="F115" s="23"/>
      <c r="G115" s="22"/>
      <c r="H115" s="24"/>
      <c r="I115" s="445" t="str" cm="1">
        <f t="array" aca="1" ref="I115" ca="1">INDIRECT("'Worksheet 2'!$A"&amp;$B109)</f>
        <v>P2-29</v>
      </c>
      <c r="L115" s="168" t="s">
        <v>114</v>
      </c>
      <c r="M115" s="31" t="str">
        <f t="shared" ca="1" si="8"/>
        <v>Chapel</v>
      </c>
      <c r="N115" s="20"/>
      <c r="O115" s="33"/>
      <c r="P115" s="27"/>
      <c r="Q115" s="24"/>
      <c r="R115" s="445" t="str">
        <f ca="1">I115</f>
        <v>P2-29</v>
      </c>
    </row>
    <row r="116" spans="1:18" ht="15.75" customHeight="1">
      <c r="C116" s="164" t="s">
        <v>117</v>
      </c>
      <c r="D116" s="346" cm="1">
        <f t="array" aca="1" ref="D116" ca="1">INDIRECT("'Worksheet 2'!$H"&amp;$B109)</f>
        <v>3.5</v>
      </c>
      <c r="E116" s="20"/>
      <c r="F116" s="169" t="s">
        <v>118</v>
      </c>
      <c r="G116" s="35"/>
      <c r="H116" s="36" t="str">
        <f>+IF('Worksheet 2'!$R$38=TRUE,"Yes",IF('Worksheet 2'!$R$38=FALSE,"No"))</f>
        <v>Yes</v>
      </c>
      <c r="I116" s="446"/>
      <c r="L116" s="164" t="s">
        <v>117</v>
      </c>
      <c r="M116" s="34">
        <f t="shared" ca="1" si="8"/>
        <v>3.5</v>
      </c>
      <c r="N116" s="20"/>
      <c r="O116" s="169" t="s">
        <v>118</v>
      </c>
      <c r="P116" s="35"/>
      <c r="Q116" s="36" t="str">
        <f>H116</f>
        <v>Yes</v>
      </c>
      <c r="R116" s="446"/>
    </row>
    <row r="117" spans="1:18" ht="15.75" customHeight="1">
      <c r="C117" s="164" t="s">
        <v>119</v>
      </c>
      <c r="D117" s="37" t="str">
        <f ca="1">IF($E117&gt;0,"YES"," ")</f>
        <v xml:space="preserve"> </v>
      </c>
      <c r="E117" s="347" cm="1">
        <f t="array" aca="1" ref="E117" ca="1">INDIRECT("'Worksheet 2'!$X"&amp;$B109)</f>
        <v>0</v>
      </c>
      <c r="F117" s="39"/>
      <c r="G117" s="20"/>
      <c r="H117" s="347" t="str" cm="1">
        <f t="array" aca="1" ref="H117" ca="1">INDIRECT("'Worksheet 2'!$R"&amp;$B109)</f>
        <v xml:space="preserve"> </v>
      </c>
      <c r="I117" s="446"/>
      <c r="J117" s="40"/>
      <c r="L117" s="164" t="s">
        <v>119</v>
      </c>
      <c r="M117" s="37" t="str">
        <f t="shared" ca="1" si="8"/>
        <v xml:space="preserve"> </v>
      </c>
      <c r="N117" s="38">
        <f ca="1">E117</f>
        <v>0</v>
      </c>
      <c r="O117" s="39"/>
      <c r="P117" s="20"/>
      <c r="Q117" s="159" t="str">
        <f ca="1">H117</f>
        <v xml:space="preserve"> </v>
      </c>
      <c r="R117" s="446"/>
    </row>
    <row r="118" spans="1:18" ht="15.75" customHeight="1">
      <c r="C118" s="164" t="s">
        <v>13</v>
      </c>
      <c r="D118" s="347" t="str" cm="1">
        <f t="array" aca="1" ref="D118" ca="1">INDIRECT("'Worksheet 2'!$W"&amp;$B109)</f>
        <v xml:space="preserve">Liteless </v>
      </c>
      <c r="E118" s="22"/>
      <c r="F118" s="23"/>
      <c r="G118" s="22"/>
      <c r="H118" s="347" cm="1">
        <f t="array" aca="1" ref="H118" ca="1">INDIRECT("'Worksheet 2'!$P"&amp;$B109)</f>
        <v>60</v>
      </c>
      <c r="I118" s="447"/>
      <c r="L118" s="164" t="s">
        <v>13</v>
      </c>
      <c r="M118" s="21" t="str">
        <f t="shared" ca="1" si="8"/>
        <v xml:space="preserve">Liteless </v>
      </c>
      <c r="N118" s="22"/>
      <c r="O118" s="23"/>
      <c r="P118" s="22"/>
      <c r="Q118" s="159">
        <f ca="1">H118</f>
        <v>60</v>
      </c>
      <c r="R118" s="447"/>
    </row>
    <row r="119" spans="1:18" ht="23.25">
      <c r="C119" s="348" cm="1">
        <f t="array" aca="1" ref="C119" ca="1">INDIRECT("'Worksheet 2'!$J"&amp;$B109)</f>
        <v>0</v>
      </c>
      <c r="D119" s="444" t="str" cm="1">
        <f t="array" aca="1" ref="D119" ca="1">IF(INDIRECT("'Worksheet 2'!$D"&amp;$B109)=1, "Left of Pair", IF(INDIRECT("'Worksheet 2'!$E"&amp;$B109)=1, "Panel"))</f>
        <v>Left of Pair</v>
      </c>
      <c r="E119" s="444"/>
      <c r="F119" s="444"/>
      <c r="G119" s="374"/>
      <c r="H119" s="374" t="str" cm="1">
        <f t="array" aca="1" ref="H119" ca="1">IF(INDIRECT("'Worksheet 2'!$F"&amp;$B109)="st","SOR T&amp;B"," ")</f>
        <v xml:space="preserve"> </v>
      </c>
      <c r="I119" s="415">
        <f>IF(Worksheet!$D$46&gt;0,Worksheet!$D$46," ")</f>
        <v>30</v>
      </c>
      <c r="L119" s="41">
        <f ca="1">$C119</f>
        <v>0</v>
      </c>
      <c r="M119" s="444" t="str" cm="1">
        <f t="array" aca="1" ref="M119" ca="1">IF(INDIRECT("'Worksheet 2'!$D"&amp;$B109)=1, "Right of Pair", IF(INDIRECT("'Worksheet 2'!$E"&amp;$B109)=1, "Do Not Use"))</f>
        <v>Right of Pair</v>
      </c>
      <c r="N119" s="444"/>
      <c r="O119" s="444"/>
      <c r="P119" s="374"/>
      <c r="Q119" s="374"/>
      <c r="R119" s="415">
        <f>IF(Worksheet!$D$46&gt;0,Worksheet!$D$46," ")</f>
        <v>30</v>
      </c>
    </row>
    <row r="121" spans="1:18">
      <c r="O121" s="18" t="s">
        <v>107</v>
      </c>
    </row>
    <row r="122" spans="1:18" ht="30" customHeight="1"/>
    <row r="123" spans="1:18" ht="19.5">
      <c r="A123" t="s">
        <v>33</v>
      </c>
      <c r="B123">
        <v>20</v>
      </c>
      <c r="C123" s="164" t="s">
        <v>113</v>
      </c>
      <c r="D123" s="21" t="str">
        <f>+'Worksheet 2'!$W$4</f>
        <v>Windcrest WO#J5121027-00234.01</v>
      </c>
      <c r="E123" s="22"/>
      <c r="F123" s="23"/>
      <c r="G123" s="22"/>
      <c r="H123" s="24"/>
      <c r="I123" s="25">
        <f>+'Worksheet 2'!$AR$1</f>
        <v>0</v>
      </c>
      <c r="J123" s="26"/>
      <c r="L123" s="164" t="s">
        <v>113</v>
      </c>
      <c r="M123" s="21" t="str">
        <f>+'Worksheet 2'!$W$4</f>
        <v>Windcrest WO#J5121027-00234.01</v>
      </c>
      <c r="N123" s="22"/>
      <c r="O123" s="23"/>
      <c r="P123" s="22"/>
      <c r="Q123" s="24"/>
      <c r="R123" s="25">
        <f>+'Worksheet 2'!$AR$1</f>
        <v>0</v>
      </c>
    </row>
    <row r="124" spans="1:18" ht="32.25">
      <c r="C124" s="165" t="s">
        <v>128</v>
      </c>
      <c r="D124" s="150" cm="1">
        <f t="array" aca="1" ref="D124" ca="1">INDIRECT("'Worksheet 2'!$K"&amp;$B123)</f>
        <v>40</v>
      </c>
      <c r="E124" s="151" t="s">
        <v>115</v>
      </c>
      <c r="F124" s="150" cm="1">
        <f t="array" aca="1" ref="F124" ca="1">INDIRECT("'Worksheet 2'!$M"&amp;$B123)</f>
        <v>13</v>
      </c>
      <c r="G124" s="151" t="s">
        <v>122</v>
      </c>
      <c r="H124" s="150" cm="1">
        <f t="array" aca="1" ref="H124" ca="1">INDIRECT("'Worksheet 2'!$O"&amp;$B123)</f>
        <v>144</v>
      </c>
      <c r="I124" s="29" t="str">
        <f>+IF('Worksheet 2'!$R$34=1,"Install",IF('Worksheet 2'!$R$34=2,"Ship",IF('Worksheet 2'!$R$34=3,"Deliver",IF('Worksheet 2'!$R$34=4,"Will Call"))))</f>
        <v>Install</v>
      </c>
      <c r="J124" s="30"/>
      <c r="L124" s="165" t="s">
        <v>128</v>
      </c>
      <c r="M124" s="150">
        <f t="shared" ref="M124:M132" ca="1" si="9">D124</f>
        <v>40</v>
      </c>
      <c r="N124" s="151" t="s">
        <v>115</v>
      </c>
      <c r="O124" s="152">
        <f ca="1">F124</f>
        <v>13</v>
      </c>
      <c r="P124" s="151" t="s">
        <v>122</v>
      </c>
      <c r="Q124" s="153">
        <f ca="1">H124</f>
        <v>144</v>
      </c>
      <c r="R124" s="29" t="str">
        <f>+IF('Worksheet 2'!$R$34=1,"Install",IF('Worksheet 2'!$R$34=2,"Ship",IF('Worksheet 2'!$R$34=3,"Deliver",IF('Worksheet 2'!$R$34=4,"Will Call"))))</f>
        <v>Install</v>
      </c>
    </row>
    <row r="125" spans="1:18" ht="12.75" customHeight="1">
      <c r="C125" s="164" t="s">
        <v>121</v>
      </c>
      <c r="D125" s="19">
        <f ca="1">+IF($D133="Left of Pair",((D124+F124)*'Worksheet 2'!AE129)/2,IF($D133="Panel",(D124+F124)*'Worksheet 2'!AE129,IF($H133="SOR",D124*2.5+6,IF($H133="SOR T&amp;B",D124*2.5+6))))</f>
        <v>0</v>
      </c>
      <c r="E125" s="19" t="s">
        <v>122</v>
      </c>
      <c r="F125" s="369">
        <f ca="1">H124+15</f>
        <v>159</v>
      </c>
      <c r="G125" s="448" cm="1">
        <f t="array" aca="1" ref="G125" ca="1">INDIRECT("'Worksheet 2'!$Y"&amp;$B123)</f>
        <v>0</v>
      </c>
      <c r="H125" s="448"/>
      <c r="I125" s="449"/>
      <c r="L125" s="164" t="s">
        <v>121</v>
      </c>
      <c r="M125">
        <f t="shared" ca="1" si="9"/>
        <v>0</v>
      </c>
      <c r="N125" s="19" t="s">
        <v>122</v>
      </c>
      <c r="O125" s="369">
        <f ca="1">F125</f>
        <v>159</v>
      </c>
      <c r="P125" s="450">
        <f ca="1">G125</f>
        <v>0</v>
      </c>
      <c r="Q125" s="450"/>
      <c r="R125" s="451"/>
    </row>
    <row r="126" spans="1:18" ht="19.5" customHeight="1">
      <c r="C126" s="166"/>
      <c r="D126" s="161" cm="1">
        <f t="array" aca="1" ref="D126" ca="1">IF($D133="Left of Pair",INDIRECT("'Worksheet 2'!$Q"&amp;$B123)/2,IF($D133="Panel",INDIRECT("'Worksheet 2'!$Q"&amp;$B123)))</f>
        <v>1.125</v>
      </c>
      <c r="E126" s="42" t="s">
        <v>41</v>
      </c>
      <c r="F126" s="370"/>
      <c r="G126" s="448"/>
      <c r="H126" s="448"/>
      <c r="I126" s="449"/>
      <c r="L126" s="166"/>
      <c r="M126" s="161">
        <f t="shared" ca="1" si="9"/>
        <v>1.125</v>
      </c>
      <c r="N126" s="42" t="s">
        <v>41</v>
      </c>
      <c r="O126" s="370"/>
      <c r="P126" s="450"/>
      <c r="Q126" s="452"/>
      <c r="R126" s="453"/>
    </row>
    <row r="127" spans="1:18" ht="15.75">
      <c r="C127" s="164" t="s">
        <v>135</v>
      </c>
      <c r="D127" s="19" t="str">
        <f ca="1">+IF(D131="yes",IF($D133="Left of Pair",($D128*$H131),IF($D133="Panel",$D128*$H131,IF($H133="SOR",$D128*$H131," ")))," ")</f>
        <v xml:space="preserve"> </v>
      </c>
      <c r="E127" s="19" t="s">
        <v>122</v>
      </c>
      <c r="F127" s="369" t="str">
        <f ca="1">IF(D131="YES",H124+12," ")</f>
        <v xml:space="preserve"> </v>
      </c>
      <c r="H127" s="343" t="s">
        <v>10</v>
      </c>
      <c r="I127" s="371" cm="1">
        <f t="array" aca="1" ref="I127" ca="1">INDIRECT("'Worksheet 2'!$Q"&amp;B123)</f>
        <v>2.25</v>
      </c>
      <c r="L127" s="164" t="s">
        <v>135</v>
      </c>
      <c r="M127" t="str">
        <f t="shared" ca="1" si="9"/>
        <v xml:space="preserve"> </v>
      </c>
      <c r="N127" s="19" t="s">
        <v>122</v>
      </c>
      <c r="O127" s="369" t="str">
        <f ca="1">F127</f>
        <v xml:space="preserve"> </v>
      </c>
      <c r="P127" s="19"/>
      <c r="Q127" s="343" t="s">
        <v>10</v>
      </c>
      <c r="R127" s="160">
        <f ca="1">I127</f>
        <v>2.25</v>
      </c>
    </row>
    <row r="128" spans="1:18">
      <c r="C128" s="167"/>
      <c r="D128" s="161" t="str" cm="1">
        <f t="array" aca="1" ref="D128" ca="1">IF(D131="yes",IF($D133="Left of Pair",INDIRECT("'Worksheet 2'!$S"&amp;$B123)/2,IF($D133="Panel",INDIRECT("'Worksheet 2'!$S"&amp;$B123)))," ")</f>
        <v xml:space="preserve"> </v>
      </c>
      <c r="E128" s="345" t="s">
        <v>41</v>
      </c>
      <c r="F128" s="372"/>
      <c r="G128" s="20"/>
      <c r="H128" s="343" t="s">
        <v>116</v>
      </c>
      <c r="I128" s="32">
        <f ca="1">IF(D133="Left of Pair",(D124+F124)/2,D124+F124)</f>
        <v>26.5</v>
      </c>
      <c r="L128" s="167"/>
      <c r="M128" s="344" t="str">
        <f t="shared" ca="1" si="9"/>
        <v xml:space="preserve"> </v>
      </c>
      <c r="N128" s="345" t="s">
        <v>41</v>
      </c>
      <c r="O128" s="372"/>
      <c r="P128" s="20"/>
      <c r="Q128" s="343" t="s">
        <v>116</v>
      </c>
      <c r="R128" s="32">
        <f ca="1">I128</f>
        <v>26.5</v>
      </c>
    </row>
    <row r="129" spans="1:18" ht="12.75" customHeight="1">
      <c r="C129" s="168" t="s">
        <v>114</v>
      </c>
      <c r="D129" s="373" t="str" cm="1">
        <f t="array" aca="1" ref="D129" ca="1">INDIRECT("'Worksheet 2'!$B"&amp;$B123)</f>
        <v>Chapel</v>
      </c>
      <c r="E129" s="22"/>
      <c r="F129" s="23"/>
      <c r="G129" s="22"/>
      <c r="H129" s="24"/>
      <c r="I129" s="445" t="str" cm="1">
        <f t="array" aca="1" ref="I129" ca="1">INDIRECT("'Worksheet 2'!$A"&amp;$B123)</f>
        <v>P2-30</v>
      </c>
      <c r="L129" s="168" t="s">
        <v>114</v>
      </c>
      <c r="M129" s="31" t="str">
        <f t="shared" ca="1" si="9"/>
        <v>Chapel</v>
      </c>
      <c r="N129" s="20"/>
      <c r="O129" s="33"/>
      <c r="P129" s="27"/>
      <c r="Q129" s="24"/>
      <c r="R129" s="445" t="str">
        <f ca="1">I129</f>
        <v>P2-30</v>
      </c>
    </row>
    <row r="130" spans="1:18" ht="15.75" customHeight="1">
      <c r="C130" s="164" t="s">
        <v>117</v>
      </c>
      <c r="D130" s="346" cm="1">
        <f t="array" aca="1" ref="D130" ca="1">INDIRECT("'Worksheet 2'!$H"&amp;$B123)</f>
        <v>3.5</v>
      </c>
      <c r="E130" s="20"/>
      <c r="F130" s="169" t="s">
        <v>118</v>
      </c>
      <c r="G130" s="35"/>
      <c r="H130" s="36" t="str">
        <f>+IF('Worksheet 2'!$R$38=TRUE,"Yes",IF('Worksheet 2'!$R$38=FALSE,"No"))</f>
        <v>Yes</v>
      </c>
      <c r="I130" s="446"/>
      <c r="L130" s="164" t="s">
        <v>117</v>
      </c>
      <c r="M130" s="34">
        <f t="shared" ca="1" si="9"/>
        <v>3.5</v>
      </c>
      <c r="N130" s="20"/>
      <c r="O130" s="169" t="s">
        <v>118</v>
      </c>
      <c r="P130" s="35"/>
      <c r="Q130" s="36" t="str">
        <f>H130</f>
        <v>Yes</v>
      </c>
      <c r="R130" s="446"/>
    </row>
    <row r="131" spans="1:18" ht="15.75" customHeight="1">
      <c r="C131" s="164" t="s">
        <v>119</v>
      </c>
      <c r="D131" s="37" t="str">
        <f ca="1">IF($E131&gt;0,"YES"," ")</f>
        <v xml:space="preserve"> </v>
      </c>
      <c r="E131" s="347" cm="1">
        <f t="array" aca="1" ref="E131" ca="1">INDIRECT("'Worksheet 2'!$X"&amp;$B123)</f>
        <v>0</v>
      </c>
      <c r="F131" s="39"/>
      <c r="G131" s="20"/>
      <c r="H131" s="347" t="str" cm="1">
        <f t="array" aca="1" ref="H131" ca="1">INDIRECT("'Worksheet 2'!$R"&amp;$B123)</f>
        <v xml:space="preserve"> </v>
      </c>
      <c r="I131" s="446"/>
      <c r="J131" s="40"/>
      <c r="L131" s="164" t="s">
        <v>119</v>
      </c>
      <c r="M131" s="37" t="str">
        <f t="shared" ca="1" si="9"/>
        <v xml:space="preserve"> </v>
      </c>
      <c r="N131" s="38">
        <f ca="1">E131</f>
        <v>0</v>
      </c>
      <c r="O131" s="39"/>
      <c r="P131" s="20"/>
      <c r="Q131" s="159" t="str">
        <f ca="1">H131</f>
        <v xml:space="preserve"> </v>
      </c>
      <c r="R131" s="446"/>
    </row>
    <row r="132" spans="1:18" ht="15.75" customHeight="1">
      <c r="C132" s="164" t="s">
        <v>13</v>
      </c>
      <c r="D132" s="347" t="str" cm="1">
        <f t="array" aca="1" ref="D132" ca="1">INDIRECT("'Worksheet 2'!$W"&amp;$B123)</f>
        <v xml:space="preserve">Liteless </v>
      </c>
      <c r="E132" s="22"/>
      <c r="F132" s="23"/>
      <c r="G132" s="22"/>
      <c r="H132" s="347" cm="1">
        <f t="array" aca="1" ref="H132" ca="1">INDIRECT("'Worksheet 2'!$P"&amp;$B123)</f>
        <v>60</v>
      </c>
      <c r="I132" s="447"/>
      <c r="L132" s="164" t="s">
        <v>13</v>
      </c>
      <c r="M132" s="21" t="str">
        <f t="shared" ca="1" si="9"/>
        <v xml:space="preserve">Liteless </v>
      </c>
      <c r="N132" s="22"/>
      <c r="O132" s="23"/>
      <c r="P132" s="22"/>
      <c r="Q132" s="159">
        <f ca="1">H132</f>
        <v>60</v>
      </c>
      <c r="R132" s="447"/>
    </row>
    <row r="133" spans="1:18" ht="23.25">
      <c r="C133" s="348" cm="1">
        <f t="array" aca="1" ref="C133" ca="1">INDIRECT("'Worksheet 2'!$J"&amp;$B123)</f>
        <v>0</v>
      </c>
      <c r="D133" s="444" t="str" cm="1">
        <f t="array" aca="1" ref="D133" ca="1">IF(INDIRECT("'Worksheet 2'!$D"&amp;$B123)=1, "Left of Pair", IF(INDIRECT("'Worksheet 2'!$E"&amp;$B123)=1, "Panel"))</f>
        <v>Left of Pair</v>
      </c>
      <c r="E133" s="444"/>
      <c r="F133" s="444"/>
      <c r="G133" s="374"/>
      <c r="H133" s="374" t="str" cm="1">
        <f t="array" aca="1" ref="H133" ca="1">IF(INDIRECT("'Worksheet 2'!$F"&amp;$B123)="st","SOR T&amp;B"," ")</f>
        <v xml:space="preserve"> </v>
      </c>
      <c r="I133" s="415">
        <f>IF(Worksheet!$D$46&gt;0,Worksheet!$D$46," ")</f>
        <v>30</v>
      </c>
      <c r="L133" s="41">
        <f ca="1">$C133</f>
        <v>0</v>
      </c>
      <c r="M133" s="444" t="str" cm="1">
        <f t="array" aca="1" ref="M133" ca="1">IF(INDIRECT("'Worksheet 2'!$D"&amp;$B123)=1, "Right of Pair", IF(INDIRECT("'Worksheet 2'!$E"&amp;$B123)=1, "Do Not Use"))</f>
        <v>Right of Pair</v>
      </c>
      <c r="N133" s="444"/>
      <c r="O133" s="444"/>
      <c r="P133" s="374"/>
      <c r="Q133" s="374"/>
      <c r="R133" s="415">
        <f>IF(Worksheet!$D$46&gt;0,Worksheet!$D$46," ")</f>
        <v>30</v>
      </c>
    </row>
    <row r="136" spans="1:18" ht="30" customHeight="1"/>
    <row r="137" spans="1:18" ht="19.5">
      <c r="A137" t="s">
        <v>34</v>
      </c>
      <c r="B137">
        <v>21</v>
      </c>
      <c r="C137" s="164" t="s">
        <v>113</v>
      </c>
      <c r="D137" s="21" t="str">
        <f>+'Worksheet 2'!$W$4</f>
        <v>Windcrest WO#J5121027-00234.01</v>
      </c>
      <c r="E137" s="22"/>
      <c r="F137" s="23"/>
      <c r="G137" s="22"/>
      <c r="H137" s="24"/>
      <c r="I137" s="25">
        <f>+'Worksheet 2'!$AR$1</f>
        <v>0</v>
      </c>
      <c r="J137" s="26"/>
      <c r="L137" s="164" t="s">
        <v>113</v>
      </c>
      <c r="M137" s="21" t="str">
        <f>+'Worksheet 2'!$W$4</f>
        <v>Windcrest WO#J5121027-00234.01</v>
      </c>
      <c r="N137" s="22"/>
      <c r="O137" s="23"/>
      <c r="P137" s="22"/>
      <c r="Q137" s="24"/>
      <c r="R137" s="25">
        <f>+'Worksheet 2'!$AR$1</f>
        <v>0</v>
      </c>
    </row>
    <row r="138" spans="1:18" ht="32.25">
      <c r="C138" s="165" t="s">
        <v>128</v>
      </c>
      <c r="D138" s="150" cm="1">
        <f t="array" aca="1" ref="D138" ca="1">INDIRECT("'Worksheet 2'!$K"&amp;$B137)</f>
        <v>0</v>
      </c>
      <c r="E138" s="151" t="s">
        <v>115</v>
      </c>
      <c r="F138" s="150" cm="1">
        <f t="array" aca="1" ref="F138" ca="1">INDIRECT("'Worksheet 2'!$M"&amp;$B137)</f>
        <v>0</v>
      </c>
      <c r="G138" s="151" t="s">
        <v>122</v>
      </c>
      <c r="H138" s="150" cm="1">
        <f t="array" aca="1" ref="H138" ca="1">INDIRECT("'Worksheet 2'!$O"&amp;$B137)</f>
        <v>0</v>
      </c>
      <c r="I138" s="29" t="str">
        <f>+IF('Worksheet 2'!$R$34=1,"Install",IF('Worksheet 2'!$R$34=2,"Ship",IF('Worksheet 2'!$R$34=3,"Deliver",IF('Worksheet 2'!$R$34=4,"Will Call"))))</f>
        <v>Install</v>
      </c>
      <c r="J138" s="30"/>
      <c r="L138" s="165" t="s">
        <v>128</v>
      </c>
      <c r="M138" s="150">
        <f t="shared" ref="M138:M146" ca="1" si="10">D138</f>
        <v>0</v>
      </c>
      <c r="N138" s="151" t="s">
        <v>115</v>
      </c>
      <c r="O138" s="152">
        <f ca="1">F138</f>
        <v>0</v>
      </c>
      <c r="P138" s="151" t="s">
        <v>122</v>
      </c>
      <c r="Q138" s="153">
        <f ca="1">H138</f>
        <v>0</v>
      </c>
      <c r="R138" s="29" t="str">
        <f>+IF('Worksheet 2'!$R$34=1,"Install",IF('Worksheet 2'!$R$34=2,"Ship",IF('Worksheet 2'!$R$34=3,"Deliver",IF('Worksheet 2'!$R$34=4,"Will Call"))))</f>
        <v>Install</v>
      </c>
    </row>
    <row r="139" spans="1:18" ht="12.75" customHeight="1">
      <c r="C139" s="164" t="s">
        <v>121</v>
      </c>
      <c r="D139" s="19" t="b">
        <f ca="1">+IF($D147="Left of Pair",((D138+F138)*'Worksheet 2'!AE143)/2,IF($D147="Panel",(D138+F138)*'Worksheet 2'!AE143,IF($H147="SOR",D138*2.5+6,IF($H147="SOR T&amp;B",D138*2.5+6))))</f>
        <v>0</v>
      </c>
      <c r="E139" s="19" t="s">
        <v>122</v>
      </c>
      <c r="F139" s="369">
        <f ca="1">H138+15</f>
        <v>15</v>
      </c>
      <c r="G139" s="448" cm="1">
        <f t="array" aca="1" ref="G139" ca="1">INDIRECT("'Worksheet 2'!$Y"&amp;$B137)</f>
        <v>0</v>
      </c>
      <c r="H139" s="448"/>
      <c r="I139" s="449"/>
      <c r="L139" s="164" t="s">
        <v>121</v>
      </c>
      <c r="M139" t="b">
        <f t="shared" ca="1" si="10"/>
        <v>0</v>
      </c>
      <c r="N139" s="19" t="s">
        <v>122</v>
      </c>
      <c r="O139" s="369">
        <f ca="1">F139</f>
        <v>15</v>
      </c>
      <c r="P139" s="450">
        <f ca="1">G139</f>
        <v>0</v>
      </c>
      <c r="Q139" s="450"/>
      <c r="R139" s="451"/>
    </row>
    <row r="140" spans="1:18" ht="19.5" customHeight="1">
      <c r="C140" s="166"/>
      <c r="D140" s="161" t="b" cm="1">
        <f t="array" aca="1" ref="D140" ca="1">IF($D147="Left of Pair",INDIRECT("'Worksheet 2'!$Q"&amp;$B137)/2,IF($D147="Panel",INDIRECT("'Worksheet 2'!$Q"&amp;$B137)))</f>
        <v>0</v>
      </c>
      <c r="E140" s="42" t="s">
        <v>41</v>
      </c>
      <c r="F140" s="370"/>
      <c r="G140" s="448"/>
      <c r="H140" s="448"/>
      <c r="I140" s="449"/>
      <c r="L140" s="166"/>
      <c r="M140" s="161" t="b">
        <f t="shared" ca="1" si="10"/>
        <v>0</v>
      </c>
      <c r="N140" s="42" t="s">
        <v>41</v>
      </c>
      <c r="O140" s="370"/>
      <c r="P140" s="450"/>
      <c r="Q140" s="452"/>
      <c r="R140" s="453"/>
    </row>
    <row r="141" spans="1:18" ht="15.75">
      <c r="C141" s="164" t="s">
        <v>135</v>
      </c>
      <c r="D141" s="19" t="str">
        <f ca="1">+IF(D145="yes",IF($D147="Left of Pair",($D142*$H145),IF($D147="Panel",$D142*$H145,IF($H147="SOR",$D142*$H145," ")))," ")</f>
        <v xml:space="preserve"> </v>
      </c>
      <c r="E141" s="19" t="s">
        <v>122</v>
      </c>
      <c r="F141" s="369" t="str">
        <f ca="1">IF(D145="YES",H138+12," ")</f>
        <v xml:space="preserve"> </v>
      </c>
      <c r="H141" s="343" t="s">
        <v>10</v>
      </c>
      <c r="I141" s="371" cm="1">
        <f t="array" aca="1" ref="I141" ca="1">INDIRECT("'Worksheet 2'!$Q"&amp;B137)</f>
        <v>0</v>
      </c>
      <c r="L141" s="164" t="s">
        <v>135</v>
      </c>
      <c r="M141" t="str">
        <f t="shared" ca="1" si="10"/>
        <v xml:space="preserve"> </v>
      </c>
      <c r="N141" s="19" t="s">
        <v>122</v>
      </c>
      <c r="O141" s="369" t="str">
        <f ca="1">F141</f>
        <v xml:space="preserve"> </v>
      </c>
      <c r="P141" s="19"/>
      <c r="Q141" s="343" t="s">
        <v>10</v>
      </c>
      <c r="R141" s="160">
        <f ca="1">I141</f>
        <v>0</v>
      </c>
    </row>
    <row r="142" spans="1:18">
      <c r="C142" s="167"/>
      <c r="D142" s="161" t="str" cm="1">
        <f t="array" aca="1" ref="D142" ca="1">IF(D145="yes",IF($D147="Left of Pair",INDIRECT("'Worksheet 2'!$S"&amp;$B137)/2,IF($D147="Panel",INDIRECT("'Worksheet 2'!$S"&amp;$B137)))," ")</f>
        <v xml:space="preserve"> </v>
      </c>
      <c r="E142" s="345" t="s">
        <v>41</v>
      </c>
      <c r="F142" s="372"/>
      <c r="G142" s="20"/>
      <c r="H142" s="343" t="s">
        <v>116</v>
      </c>
      <c r="I142" s="32">
        <f ca="1">IF(D147="Left of Pair",(D138+F138)/2,D138+F138)</f>
        <v>0</v>
      </c>
      <c r="L142" s="167"/>
      <c r="M142" s="344" t="str">
        <f t="shared" ca="1" si="10"/>
        <v xml:space="preserve"> </v>
      </c>
      <c r="N142" s="345" t="s">
        <v>41</v>
      </c>
      <c r="O142" s="372"/>
      <c r="P142" s="20"/>
      <c r="Q142" s="343" t="s">
        <v>116</v>
      </c>
      <c r="R142" s="32">
        <f ca="1">I142</f>
        <v>0</v>
      </c>
    </row>
    <row r="143" spans="1:18" ht="12.75" customHeight="1">
      <c r="C143" s="168" t="s">
        <v>114</v>
      </c>
      <c r="D143" s="373" cm="1">
        <f t="array" aca="1" ref="D143" ca="1">INDIRECT("'Worksheet 2'!$B"&amp;$B137)</f>
        <v>0</v>
      </c>
      <c r="E143" s="22"/>
      <c r="F143" s="23"/>
      <c r="G143" s="22"/>
      <c r="H143" s="24"/>
      <c r="I143" s="445" t="str" cm="1">
        <f t="array" aca="1" ref="I143" ca="1">INDIRECT("'Worksheet 2'!$A"&amp;$B137)</f>
        <v>P2-31</v>
      </c>
      <c r="L143" s="168" t="s">
        <v>114</v>
      </c>
      <c r="M143" s="31">
        <f t="shared" ca="1" si="10"/>
        <v>0</v>
      </c>
      <c r="N143" s="20"/>
      <c r="O143" s="33"/>
      <c r="P143" s="27"/>
      <c r="Q143" s="24"/>
      <c r="R143" s="445" t="str">
        <f ca="1">I143</f>
        <v>P2-31</v>
      </c>
    </row>
    <row r="144" spans="1:18" ht="15.75" customHeight="1">
      <c r="C144" s="164" t="s">
        <v>117</v>
      </c>
      <c r="D144" s="346" cm="1">
        <f t="array" aca="1" ref="D144" ca="1">INDIRECT("'Worksheet 2'!$H"&amp;$B137)</f>
        <v>0</v>
      </c>
      <c r="E144" s="20"/>
      <c r="F144" s="169" t="s">
        <v>118</v>
      </c>
      <c r="G144" s="35"/>
      <c r="H144" s="36" t="str">
        <f>+IF('Worksheet 2'!$R$38=TRUE,"Yes",IF('Worksheet 2'!$R$38=FALSE,"No"))</f>
        <v>Yes</v>
      </c>
      <c r="I144" s="446"/>
      <c r="L144" s="164" t="s">
        <v>117</v>
      </c>
      <c r="M144" s="34">
        <f t="shared" ca="1" si="10"/>
        <v>0</v>
      </c>
      <c r="N144" s="20"/>
      <c r="O144" s="169" t="s">
        <v>118</v>
      </c>
      <c r="P144" s="35"/>
      <c r="Q144" s="36" t="str">
        <f>H144</f>
        <v>Yes</v>
      </c>
      <c r="R144" s="446"/>
    </row>
    <row r="145" spans="1:18" ht="15.75" customHeight="1">
      <c r="C145" s="164" t="s">
        <v>119</v>
      </c>
      <c r="D145" s="37" t="str">
        <f ca="1">IF($E145&gt;0,"YES"," ")</f>
        <v xml:space="preserve"> </v>
      </c>
      <c r="E145" s="347" cm="1">
        <f t="array" aca="1" ref="E145" ca="1">INDIRECT("'Worksheet 2'!$X"&amp;$B137)</f>
        <v>0</v>
      </c>
      <c r="F145" s="39"/>
      <c r="G145" s="20"/>
      <c r="H145" s="347" t="str" cm="1">
        <f t="array" aca="1" ref="H145" ca="1">INDIRECT("'Worksheet 2'!$R"&amp;$B137)</f>
        <v xml:space="preserve"> </v>
      </c>
      <c r="I145" s="446"/>
      <c r="J145" s="40"/>
      <c r="L145" s="164" t="s">
        <v>119</v>
      </c>
      <c r="M145" s="37" t="str">
        <f t="shared" ca="1" si="10"/>
        <v xml:space="preserve"> </v>
      </c>
      <c r="N145" s="38">
        <f ca="1">E145</f>
        <v>0</v>
      </c>
      <c r="O145" s="39"/>
      <c r="P145" s="20"/>
      <c r="Q145" s="159" t="str">
        <f ca="1">H145</f>
        <v xml:space="preserve"> </v>
      </c>
      <c r="R145" s="446"/>
    </row>
    <row r="146" spans="1:18" ht="15.75" customHeight="1">
      <c r="C146" s="164" t="s">
        <v>13</v>
      </c>
      <c r="D146" s="347" cm="1">
        <f t="array" aca="1" ref="D146" ca="1">INDIRECT("'Worksheet 2'!$W"&amp;$B137)</f>
        <v>0</v>
      </c>
      <c r="E146" s="22"/>
      <c r="F146" s="23"/>
      <c r="G146" s="22"/>
      <c r="H146" s="347" t="str" cm="1">
        <f t="array" aca="1" ref="H146" ca="1">INDIRECT("'Worksheet 2'!$P"&amp;$B137)</f>
        <v xml:space="preserve"> </v>
      </c>
      <c r="I146" s="447"/>
      <c r="L146" s="164" t="s">
        <v>13</v>
      </c>
      <c r="M146" s="21">
        <f t="shared" ca="1" si="10"/>
        <v>0</v>
      </c>
      <c r="N146" s="22"/>
      <c r="O146" s="23"/>
      <c r="P146" s="22"/>
      <c r="Q146" s="159" t="str">
        <f ca="1">H146</f>
        <v xml:space="preserve"> </v>
      </c>
      <c r="R146" s="447"/>
    </row>
    <row r="147" spans="1:18" ht="23.25">
      <c r="C147" s="348" cm="1">
        <f t="array" aca="1" ref="C147" ca="1">INDIRECT("'Worksheet 2'!$J"&amp;$B137)</f>
        <v>0</v>
      </c>
      <c r="D147" s="444" t="b" cm="1">
        <f t="array" aca="1" ref="D147" ca="1">IF(INDIRECT("'Worksheet 2'!$D"&amp;$B137)=1, "Left of Pair", IF(INDIRECT("'Worksheet 2'!$E"&amp;$B137)=1, "Panel"))</f>
        <v>0</v>
      </c>
      <c r="E147" s="444"/>
      <c r="F147" s="444"/>
      <c r="G147" s="374"/>
      <c r="H147" s="374" t="str" cm="1">
        <f t="array" aca="1" ref="H147" ca="1">IF(INDIRECT("'Worksheet 2'!$F"&amp;$B137)="st","SOR T&amp;B"," ")</f>
        <v xml:space="preserve"> </v>
      </c>
      <c r="I147" s="415">
        <f>IF(Worksheet!$D$46&gt;0,Worksheet!$D$46," ")</f>
        <v>30</v>
      </c>
      <c r="L147" s="41">
        <f ca="1">$C147</f>
        <v>0</v>
      </c>
      <c r="M147" s="444" t="b" cm="1">
        <f t="array" aca="1" ref="M147" ca="1">IF(INDIRECT("'Worksheet 2'!$D"&amp;$B137)=1, "Right of Pair", IF(INDIRECT("'Worksheet 2'!$E"&amp;$B137)=1, "Do Not Use"))</f>
        <v>0</v>
      </c>
      <c r="N147" s="444"/>
      <c r="O147" s="444"/>
      <c r="P147" s="374"/>
      <c r="Q147" s="374"/>
      <c r="R147" s="415">
        <f>IF(Worksheet!$D$46&gt;0,Worksheet!$D$46," ")</f>
        <v>30</v>
      </c>
    </row>
    <row r="149" spans="1:18">
      <c r="O149" s="18" t="s">
        <v>107</v>
      </c>
    </row>
    <row r="150" spans="1:18" ht="30" customHeight="1"/>
    <row r="151" spans="1:18" ht="19.5">
      <c r="A151" t="s">
        <v>35</v>
      </c>
      <c r="B151">
        <v>22</v>
      </c>
      <c r="C151" s="164" t="s">
        <v>113</v>
      </c>
      <c r="D151" s="21" t="str">
        <f>+'Worksheet 2'!$W$4</f>
        <v>Windcrest WO#J5121027-00234.01</v>
      </c>
      <c r="E151" s="22"/>
      <c r="F151" s="23"/>
      <c r="G151" s="22"/>
      <c r="H151" s="24"/>
      <c r="I151" s="25">
        <f>+'Worksheet 2'!$AR$1</f>
        <v>0</v>
      </c>
      <c r="J151" s="26"/>
      <c r="L151" s="164" t="s">
        <v>113</v>
      </c>
      <c r="M151" s="21" t="str">
        <f>+'Worksheet 2'!$W$4</f>
        <v>Windcrest WO#J5121027-00234.01</v>
      </c>
      <c r="N151" s="22"/>
      <c r="O151" s="23"/>
      <c r="P151" s="22"/>
      <c r="Q151" s="24"/>
      <c r="R151" s="25">
        <f>+'Worksheet 2'!$AR$1</f>
        <v>0</v>
      </c>
    </row>
    <row r="152" spans="1:18" ht="32.25">
      <c r="C152" s="165" t="s">
        <v>128</v>
      </c>
      <c r="D152" s="150" cm="1">
        <f t="array" aca="1" ref="D152" ca="1">INDIRECT("'Worksheet 2'!$K"&amp;$B151)</f>
        <v>0</v>
      </c>
      <c r="E152" s="151" t="s">
        <v>115</v>
      </c>
      <c r="F152" s="150" cm="1">
        <f t="array" aca="1" ref="F152" ca="1">INDIRECT("'Worksheet 2'!$M"&amp;$B151)</f>
        <v>0</v>
      </c>
      <c r="G152" s="151" t="s">
        <v>122</v>
      </c>
      <c r="H152" s="150" cm="1">
        <f t="array" aca="1" ref="H152" ca="1">INDIRECT("'Worksheet 2'!$O"&amp;$B151)</f>
        <v>0</v>
      </c>
      <c r="I152" s="29" t="str">
        <f>+IF('Worksheet 2'!$R$34=1,"Install",IF('Worksheet 2'!$R$34=2,"Ship",IF('Worksheet 2'!$R$34=3,"Deliver",IF('Worksheet 2'!$R$34=4,"Will Call"))))</f>
        <v>Install</v>
      </c>
      <c r="J152" s="30"/>
      <c r="L152" s="165" t="s">
        <v>128</v>
      </c>
      <c r="M152" s="150">
        <f t="shared" ref="M152:M160" ca="1" si="11">D152</f>
        <v>0</v>
      </c>
      <c r="N152" s="151" t="s">
        <v>115</v>
      </c>
      <c r="O152" s="152">
        <f ca="1">F152</f>
        <v>0</v>
      </c>
      <c r="P152" s="151" t="s">
        <v>122</v>
      </c>
      <c r="Q152" s="153">
        <f ca="1">H152</f>
        <v>0</v>
      </c>
      <c r="R152" s="29" t="str">
        <f>+IF('Worksheet 2'!$R$34=1,"Install",IF('Worksheet 2'!$R$34=2,"Ship",IF('Worksheet 2'!$R$34=3,"Deliver",IF('Worksheet 2'!$R$34=4,"Will Call"))))</f>
        <v>Install</v>
      </c>
    </row>
    <row r="153" spans="1:18" ht="12.75" customHeight="1">
      <c r="C153" s="164" t="s">
        <v>121</v>
      </c>
      <c r="D153" s="19" t="b">
        <f ca="1">+IF($D161="Left of Pair",((D152+F152)*'Worksheet 2'!AE157)/2,IF($D161="Panel",(D152+F152)*'Worksheet 2'!AE157,IF($H161="SOR",D152*2.5+6,IF($H161="SOR T&amp;B",D152*2.5+6))))</f>
        <v>0</v>
      </c>
      <c r="E153" s="19" t="s">
        <v>122</v>
      </c>
      <c r="F153" s="369">
        <f ca="1">H152+15</f>
        <v>15</v>
      </c>
      <c r="G153" s="448" cm="1">
        <f t="array" aca="1" ref="G153" ca="1">INDIRECT("'Worksheet 2'!$Y"&amp;$B151)</f>
        <v>0</v>
      </c>
      <c r="H153" s="448"/>
      <c r="I153" s="449"/>
      <c r="L153" s="164" t="s">
        <v>121</v>
      </c>
      <c r="M153" t="b">
        <f t="shared" ca="1" si="11"/>
        <v>0</v>
      </c>
      <c r="N153" s="19" t="s">
        <v>122</v>
      </c>
      <c r="O153" s="369">
        <f ca="1">F153</f>
        <v>15</v>
      </c>
      <c r="P153" s="450">
        <f ca="1">G153</f>
        <v>0</v>
      </c>
      <c r="Q153" s="450"/>
      <c r="R153" s="451"/>
    </row>
    <row r="154" spans="1:18" ht="19.5" customHeight="1">
      <c r="C154" s="166"/>
      <c r="D154" s="161" t="b" cm="1">
        <f t="array" aca="1" ref="D154" ca="1">IF($D161="Left of Pair",INDIRECT("'Worksheet 2'!$Q"&amp;$B151)/2,IF($D161="Panel",INDIRECT("'Worksheet 2'!$Q"&amp;$B151)))</f>
        <v>0</v>
      </c>
      <c r="E154" s="42" t="s">
        <v>41</v>
      </c>
      <c r="F154" s="370"/>
      <c r="G154" s="448"/>
      <c r="H154" s="448"/>
      <c r="I154" s="449"/>
      <c r="L154" s="166"/>
      <c r="M154" s="161" t="b">
        <f t="shared" ca="1" si="11"/>
        <v>0</v>
      </c>
      <c r="N154" s="42" t="s">
        <v>41</v>
      </c>
      <c r="O154" s="370"/>
      <c r="P154" s="450"/>
      <c r="Q154" s="452"/>
      <c r="R154" s="453"/>
    </row>
    <row r="155" spans="1:18" ht="15.75">
      <c r="C155" s="164" t="s">
        <v>135</v>
      </c>
      <c r="D155" s="19" t="str">
        <f ca="1">+IF(D159="yes",IF($D161="Left of Pair",($D156*$H159),IF($D161="Panel",$D156*$H159,IF($H161="SOR",$D156*$H159," ")))," ")</f>
        <v xml:space="preserve"> </v>
      </c>
      <c r="E155" s="19" t="s">
        <v>122</v>
      </c>
      <c r="F155" s="369" t="str">
        <f ca="1">IF(D159="YES",H152+12," ")</f>
        <v xml:space="preserve"> </v>
      </c>
      <c r="H155" s="343" t="s">
        <v>10</v>
      </c>
      <c r="I155" s="371" cm="1">
        <f t="array" aca="1" ref="I155" ca="1">INDIRECT("'Worksheet 2'!$Q"&amp;B151)</f>
        <v>0</v>
      </c>
      <c r="L155" s="164" t="s">
        <v>135</v>
      </c>
      <c r="M155" t="str">
        <f t="shared" ca="1" si="11"/>
        <v xml:space="preserve"> </v>
      </c>
      <c r="N155" s="19" t="s">
        <v>122</v>
      </c>
      <c r="O155" s="369" t="str">
        <f ca="1">F155</f>
        <v xml:space="preserve"> </v>
      </c>
      <c r="P155" s="19"/>
      <c r="Q155" s="343" t="s">
        <v>10</v>
      </c>
      <c r="R155" s="160">
        <f ca="1">I155</f>
        <v>0</v>
      </c>
    </row>
    <row r="156" spans="1:18">
      <c r="C156" s="167"/>
      <c r="D156" s="161" t="str" cm="1">
        <f t="array" aca="1" ref="D156" ca="1">IF(D159="yes",IF($D161="Left of Pair",INDIRECT("'Worksheet 2'!$S"&amp;$B151)/2,IF($D161="Panel",INDIRECT("'Worksheet 2'!$S"&amp;$B151)))," ")</f>
        <v xml:space="preserve"> </v>
      </c>
      <c r="E156" s="345" t="s">
        <v>41</v>
      </c>
      <c r="F156" s="372"/>
      <c r="G156" s="20"/>
      <c r="H156" s="343" t="s">
        <v>116</v>
      </c>
      <c r="I156" s="32">
        <f ca="1">IF(D161="Left of Pair",(D152+F152)/2,D152+F152)</f>
        <v>0</v>
      </c>
      <c r="L156" s="167"/>
      <c r="M156" s="344" t="str">
        <f t="shared" ca="1" si="11"/>
        <v xml:space="preserve"> </v>
      </c>
      <c r="N156" s="345" t="s">
        <v>41</v>
      </c>
      <c r="O156" s="372"/>
      <c r="P156" s="20"/>
      <c r="Q156" s="343" t="s">
        <v>116</v>
      </c>
      <c r="R156" s="32">
        <f ca="1">I156</f>
        <v>0</v>
      </c>
    </row>
    <row r="157" spans="1:18" ht="12.75" customHeight="1">
      <c r="C157" s="168" t="s">
        <v>114</v>
      </c>
      <c r="D157" s="373" cm="1">
        <f t="array" aca="1" ref="D157" ca="1">INDIRECT("'Worksheet 2'!$B"&amp;$B151)</f>
        <v>0</v>
      </c>
      <c r="E157" s="22"/>
      <c r="F157" s="23"/>
      <c r="G157" s="22"/>
      <c r="H157" s="24"/>
      <c r="I157" s="445" t="str" cm="1">
        <f t="array" aca="1" ref="I157" ca="1">INDIRECT("'Worksheet 2'!$A"&amp;$B151)</f>
        <v>P2-32</v>
      </c>
      <c r="L157" s="168" t="s">
        <v>114</v>
      </c>
      <c r="M157" s="31">
        <f t="shared" ca="1" si="11"/>
        <v>0</v>
      </c>
      <c r="N157" s="20"/>
      <c r="O157" s="33"/>
      <c r="P157" s="27"/>
      <c r="Q157" s="24"/>
      <c r="R157" s="445" t="str">
        <f ca="1">I157</f>
        <v>P2-32</v>
      </c>
    </row>
    <row r="158" spans="1:18" ht="15.75" customHeight="1">
      <c r="C158" s="164" t="s">
        <v>117</v>
      </c>
      <c r="D158" s="346" cm="1">
        <f t="array" aca="1" ref="D158" ca="1">INDIRECT("'Worksheet 2'!$H"&amp;$B151)</f>
        <v>0</v>
      </c>
      <c r="E158" s="20"/>
      <c r="F158" s="169" t="s">
        <v>118</v>
      </c>
      <c r="G158" s="35"/>
      <c r="H158" s="36" t="str">
        <f>+IF('Worksheet 2'!$R$38=TRUE,"Yes",IF('Worksheet 2'!$R$38=FALSE,"No"))</f>
        <v>Yes</v>
      </c>
      <c r="I158" s="446"/>
      <c r="L158" s="164" t="s">
        <v>117</v>
      </c>
      <c r="M158" s="34">
        <f t="shared" ca="1" si="11"/>
        <v>0</v>
      </c>
      <c r="N158" s="20"/>
      <c r="O158" s="169" t="s">
        <v>118</v>
      </c>
      <c r="P158" s="35"/>
      <c r="Q158" s="36" t="str">
        <f>H158</f>
        <v>Yes</v>
      </c>
      <c r="R158" s="446"/>
    </row>
    <row r="159" spans="1:18" ht="15.75" customHeight="1">
      <c r="C159" s="164" t="s">
        <v>119</v>
      </c>
      <c r="D159" s="37" t="str">
        <f ca="1">IF($E159&gt;0,"YES"," ")</f>
        <v xml:space="preserve"> </v>
      </c>
      <c r="E159" s="347" cm="1">
        <f t="array" aca="1" ref="E159" ca="1">INDIRECT("'Worksheet 2'!$X"&amp;$B151)</f>
        <v>0</v>
      </c>
      <c r="F159" s="39"/>
      <c r="G159" s="20"/>
      <c r="H159" s="347" t="str" cm="1">
        <f t="array" aca="1" ref="H159" ca="1">INDIRECT("'Worksheet 2'!$R"&amp;$B151)</f>
        <v xml:space="preserve"> </v>
      </c>
      <c r="I159" s="446"/>
      <c r="J159" s="40"/>
      <c r="L159" s="164" t="s">
        <v>119</v>
      </c>
      <c r="M159" s="37" t="str">
        <f t="shared" ca="1" si="11"/>
        <v xml:space="preserve"> </v>
      </c>
      <c r="N159" s="38">
        <f ca="1">E159</f>
        <v>0</v>
      </c>
      <c r="O159" s="39"/>
      <c r="P159" s="20"/>
      <c r="Q159" s="159" t="str">
        <f ca="1">H159</f>
        <v xml:space="preserve"> </v>
      </c>
      <c r="R159" s="446"/>
    </row>
    <row r="160" spans="1:18" ht="15.75" customHeight="1">
      <c r="C160" s="164" t="s">
        <v>13</v>
      </c>
      <c r="D160" s="347" cm="1">
        <f t="array" aca="1" ref="D160" ca="1">INDIRECT("'Worksheet 2'!$W"&amp;$B151)</f>
        <v>0</v>
      </c>
      <c r="E160" s="22"/>
      <c r="F160" s="23"/>
      <c r="G160" s="22"/>
      <c r="H160" s="347" t="str" cm="1">
        <f t="array" aca="1" ref="H160" ca="1">INDIRECT("'Worksheet 2'!$P"&amp;$B151)</f>
        <v xml:space="preserve"> </v>
      </c>
      <c r="I160" s="447"/>
      <c r="L160" s="164" t="s">
        <v>13</v>
      </c>
      <c r="M160" s="21">
        <f t="shared" ca="1" si="11"/>
        <v>0</v>
      </c>
      <c r="N160" s="22"/>
      <c r="O160" s="23"/>
      <c r="P160" s="22"/>
      <c r="Q160" s="159" t="str">
        <f ca="1">H160</f>
        <v xml:space="preserve"> </v>
      </c>
      <c r="R160" s="447"/>
    </row>
    <row r="161" spans="1:18" ht="23.25">
      <c r="C161" s="348" cm="1">
        <f t="array" aca="1" ref="C161" ca="1">INDIRECT("'Worksheet 2'!$J"&amp;$B151)</f>
        <v>0</v>
      </c>
      <c r="D161" s="444" t="b" cm="1">
        <f t="array" aca="1" ref="D161" ca="1">IF(INDIRECT("'Worksheet 2'!$D"&amp;$B151)=1, "Left of Pair", IF(INDIRECT("'Worksheet 2'!$E"&amp;$B151)=1, "Panel"))</f>
        <v>0</v>
      </c>
      <c r="E161" s="444"/>
      <c r="F161" s="444"/>
      <c r="G161" s="374"/>
      <c r="H161" s="374" t="str" cm="1">
        <f t="array" aca="1" ref="H161" ca="1">IF(INDIRECT("'Worksheet 2'!$F"&amp;$B151)="st","SOR T&amp;B"," ")</f>
        <v xml:space="preserve"> </v>
      </c>
      <c r="I161" s="415">
        <f>IF(Worksheet!$D$46&gt;0,Worksheet!$D$46," ")</f>
        <v>30</v>
      </c>
      <c r="L161" s="41">
        <f ca="1">$C161</f>
        <v>0</v>
      </c>
      <c r="M161" s="444" t="b" cm="1">
        <f t="array" aca="1" ref="M161" ca="1">IF(INDIRECT("'Worksheet 2'!$D"&amp;$B151)=1, "Right of Pair", IF(INDIRECT("'Worksheet 2'!$E"&amp;$B151)=1, "Do Not Use"))</f>
        <v>0</v>
      </c>
      <c r="N161" s="444"/>
      <c r="O161" s="444"/>
      <c r="P161" s="374"/>
      <c r="Q161" s="374"/>
      <c r="R161" s="415">
        <f>IF(Worksheet!$D$46&gt;0,Worksheet!$D$46," ")</f>
        <v>30</v>
      </c>
    </row>
    <row r="163" spans="1:18" ht="19.5">
      <c r="A163" t="s">
        <v>36</v>
      </c>
      <c r="B163">
        <v>23</v>
      </c>
      <c r="C163" s="164" t="s">
        <v>113</v>
      </c>
      <c r="D163" s="21" t="str">
        <f>+'Worksheet 2'!$W$4</f>
        <v>Windcrest WO#J5121027-00234.01</v>
      </c>
      <c r="E163" s="22"/>
      <c r="F163" s="23"/>
      <c r="G163" s="22"/>
      <c r="H163" s="24"/>
      <c r="I163" s="25">
        <f>+'Worksheet 2'!$AR$1</f>
        <v>0</v>
      </c>
      <c r="J163" s="26"/>
      <c r="L163" s="164" t="s">
        <v>113</v>
      </c>
      <c r="M163" s="21" t="str">
        <f>+'Worksheet 2'!$W$4</f>
        <v>Windcrest WO#J5121027-00234.01</v>
      </c>
      <c r="N163" s="22"/>
      <c r="O163" s="23"/>
      <c r="P163" s="22"/>
      <c r="Q163" s="24"/>
      <c r="R163" s="25">
        <f>+'Worksheet 2'!$AR$1</f>
        <v>0</v>
      </c>
    </row>
    <row r="164" spans="1:18" ht="32.25">
      <c r="C164" s="165" t="s">
        <v>128</v>
      </c>
      <c r="D164" s="150" cm="1">
        <f t="array" aca="1" ref="D164" ca="1">INDIRECT("'Worksheet 2'!$K"&amp;$B163)</f>
        <v>0</v>
      </c>
      <c r="E164" s="151" t="s">
        <v>115</v>
      </c>
      <c r="F164" s="150" cm="1">
        <f t="array" aca="1" ref="F164" ca="1">INDIRECT("'Worksheet 2'!$M"&amp;$B163)</f>
        <v>0</v>
      </c>
      <c r="G164" s="151" t="s">
        <v>122</v>
      </c>
      <c r="H164" s="150" cm="1">
        <f t="array" aca="1" ref="H164" ca="1">INDIRECT("'Worksheet 2'!$O"&amp;$B163)</f>
        <v>0</v>
      </c>
      <c r="I164" s="29" t="str">
        <f>+IF('Worksheet 2'!$R$34=1,"Install",IF('Worksheet 2'!$R$34=2,"Ship",IF('Worksheet 2'!$R$34=3,"Deliver",IF('Worksheet 2'!$R$34=4,"Will Call"))))</f>
        <v>Install</v>
      </c>
      <c r="J164" s="30"/>
      <c r="L164" s="165" t="s">
        <v>128</v>
      </c>
      <c r="M164" s="150">
        <f t="shared" ref="M164:M172" ca="1" si="12">D164</f>
        <v>0</v>
      </c>
      <c r="N164" s="151" t="s">
        <v>115</v>
      </c>
      <c r="O164" s="152">
        <f ca="1">F164</f>
        <v>0</v>
      </c>
      <c r="P164" s="151" t="s">
        <v>122</v>
      </c>
      <c r="Q164" s="153">
        <f ca="1">H164</f>
        <v>0</v>
      </c>
      <c r="R164" s="29" t="str">
        <f>+IF('Worksheet 2'!$R$34=1,"Install",IF('Worksheet 2'!$R$34=2,"Ship",IF('Worksheet 2'!$R$34=3,"Deliver",IF('Worksheet 2'!$R$34=4,"Will Call"))))</f>
        <v>Install</v>
      </c>
    </row>
    <row r="165" spans="1:18" ht="12.75" customHeight="1">
      <c r="C165" s="164" t="s">
        <v>121</v>
      </c>
      <c r="D165" s="19" t="b">
        <f ca="1">+IF($D173="Left of Pair",((D164+F164)*'Worksheet 2'!AE169)/2,IF($D173="Panel",(D164+F164)*'Worksheet 2'!AE169,IF($H173="SOR",D164*2.5+6,IF($H173="SOR T&amp;B",D164*2.5+6))))</f>
        <v>0</v>
      </c>
      <c r="E165" s="19" t="s">
        <v>122</v>
      </c>
      <c r="F165" s="369">
        <f ca="1">H164+15</f>
        <v>15</v>
      </c>
      <c r="G165" s="448" cm="1">
        <f t="array" aca="1" ref="G165" ca="1">INDIRECT("'Worksheet 2'!$Y"&amp;$B163)</f>
        <v>0</v>
      </c>
      <c r="H165" s="448"/>
      <c r="I165" s="449"/>
      <c r="L165" s="164" t="s">
        <v>121</v>
      </c>
      <c r="M165" t="b">
        <f t="shared" ca="1" si="12"/>
        <v>0</v>
      </c>
      <c r="N165" s="19" t="s">
        <v>122</v>
      </c>
      <c r="O165" s="369">
        <f ca="1">F165</f>
        <v>15</v>
      </c>
      <c r="P165" s="450">
        <f ca="1">G165</f>
        <v>0</v>
      </c>
      <c r="Q165" s="450"/>
      <c r="R165" s="451"/>
    </row>
    <row r="166" spans="1:18" ht="19.5" customHeight="1">
      <c r="C166" s="166"/>
      <c r="D166" s="161" t="b" cm="1">
        <f t="array" aca="1" ref="D166" ca="1">IF($D173="Left of Pair",INDIRECT("'Worksheet 2'!$Q"&amp;$B163)/2,IF($D173="Panel",INDIRECT("'Worksheet 2'!$Q"&amp;$B163)))</f>
        <v>0</v>
      </c>
      <c r="E166" s="42" t="s">
        <v>41</v>
      </c>
      <c r="F166" s="370"/>
      <c r="G166" s="448"/>
      <c r="H166" s="448"/>
      <c r="I166" s="449"/>
      <c r="L166" s="166"/>
      <c r="M166" s="161" t="b">
        <f t="shared" ca="1" si="12"/>
        <v>0</v>
      </c>
      <c r="N166" s="42" t="s">
        <v>41</v>
      </c>
      <c r="O166" s="370"/>
      <c r="P166" s="450"/>
      <c r="Q166" s="452"/>
      <c r="R166" s="453"/>
    </row>
    <row r="167" spans="1:18" ht="15.75">
      <c r="C167" s="164" t="s">
        <v>135</v>
      </c>
      <c r="D167" s="19" t="str">
        <f ca="1">+IF(D171="yes",IF($D173="Left of Pair",($D168*$H171),IF($D173="Panel",$D168*$H171,IF($H173="SOR",$D168*$H171," ")))," ")</f>
        <v xml:space="preserve"> </v>
      </c>
      <c r="E167" s="19" t="s">
        <v>122</v>
      </c>
      <c r="F167" s="369" t="str">
        <f ca="1">IF(D171="YES",H164+12," ")</f>
        <v xml:space="preserve"> </v>
      </c>
      <c r="H167" s="343" t="s">
        <v>10</v>
      </c>
      <c r="I167" s="371" cm="1">
        <f t="array" aca="1" ref="I167" ca="1">INDIRECT("'Worksheet 2'!$Q"&amp;B163)</f>
        <v>0</v>
      </c>
      <c r="L167" s="164" t="s">
        <v>135</v>
      </c>
      <c r="M167" t="str">
        <f t="shared" ca="1" si="12"/>
        <v xml:space="preserve"> </v>
      </c>
      <c r="N167" s="19" t="s">
        <v>122</v>
      </c>
      <c r="O167" s="369" t="str">
        <f ca="1">F167</f>
        <v xml:space="preserve"> </v>
      </c>
      <c r="P167" s="19"/>
      <c r="Q167" s="343" t="s">
        <v>10</v>
      </c>
      <c r="R167" s="160">
        <f ca="1">I167</f>
        <v>0</v>
      </c>
    </row>
    <row r="168" spans="1:18">
      <c r="C168" s="167"/>
      <c r="D168" s="161" t="str" cm="1">
        <f t="array" aca="1" ref="D168" ca="1">IF(D171="yes",IF($D173="Left of Pair",INDIRECT("'Worksheet 2'!$S"&amp;$B163)/2,IF($D173="Panel",INDIRECT("'Worksheet 2'!$S"&amp;$B163)))," ")</f>
        <v xml:space="preserve"> </v>
      </c>
      <c r="E168" s="345" t="s">
        <v>41</v>
      </c>
      <c r="F168" s="372"/>
      <c r="G168" s="20"/>
      <c r="H168" s="343" t="s">
        <v>116</v>
      </c>
      <c r="I168" s="32">
        <f ca="1">IF(D173="Left of Pair",(D164+F164)/2,D164+F164)</f>
        <v>0</v>
      </c>
      <c r="L168" s="167"/>
      <c r="M168" s="344" t="str">
        <f t="shared" ca="1" si="12"/>
        <v xml:space="preserve"> </v>
      </c>
      <c r="N168" s="345" t="s">
        <v>41</v>
      </c>
      <c r="O168" s="372"/>
      <c r="P168" s="20"/>
      <c r="Q168" s="343" t="s">
        <v>116</v>
      </c>
      <c r="R168" s="32">
        <f ca="1">I168</f>
        <v>0</v>
      </c>
    </row>
    <row r="169" spans="1:18" ht="12.75" customHeight="1">
      <c r="C169" s="168" t="s">
        <v>114</v>
      </c>
      <c r="D169" s="373" cm="1">
        <f t="array" aca="1" ref="D169" ca="1">INDIRECT("'Worksheet 2'!$B"&amp;$B163)</f>
        <v>0</v>
      </c>
      <c r="E169" s="22"/>
      <c r="F169" s="23"/>
      <c r="G169" s="22"/>
      <c r="H169" s="24"/>
      <c r="I169" s="445" t="str" cm="1">
        <f t="array" aca="1" ref="I169" ca="1">INDIRECT("'Worksheet 2'!$A"&amp;$B163)</f>
        <v>P2-33</v>
      </c>
      <c r="L169" s="168" t="s">
        <v>114</v>
      </c>
      <c r="M169" s="31">
        <f t="shared" ca="1" si="12"/>
        <v>0</v>
      </c>
      <c r="N169" s="20"/>
      <c r="O169" s="33"/>
      <c r="P169" s="27"/>
      <c r="Q169" s="24"/>
      <c r="R169" s="445" t="str">
        <f ca="1">I169</f>
        <v>P2-33</v>
      </c>
    </row>
    <row r="170" spans="1:18" ht="15.75" customHeight="1">
      <c r="C170" s="164" t="s">
        <v>117</v>
      </c>
      <c r="D170" s="346" cm="1">
        <f t="array" aca="1" ref="D170" ca="1">INDIRECT("'Worksheet 2'!$H"&amp;$B163)</f>
        <v>0</v>
      </c>
      <c r="E170" s="20"/>
      <c r="F170" s="169" t="s">
        <v>118</v>
      </c>
      <c r="G170" s="35"/>
      <c r="H170" s="36" t="str">
        <f>+IF('Worksheet 2'!$R$38=TRUE,"Yes",IF('Worksheet 2'!$R$38=FALSE,"No"))</f>
        <v>Yes</v>
      </c>
      <c r="I170" s="446"/>
      <c r="L170" s="164" t="s">
        <v>117</v>
      </c>
      <c r="M170" s="34">
        <f t="shared" ca="1" si="12"/>
        <v>0</v>
      </c>
      <c r="N170" s="20"/>
      <c r="O170" s="169" t="s">
        <v>118</v>
      </c>
      <c r="P170" s="35"/>
      <c r="Q170" s="36" t="str">
        <f>H170</f>
        <v>Yes</v>
      </c>
      <c r="R170" s="446"/>
    </row>
    <row r="171" spans="1:18" ht="15.75" customHeight="1">
      <c r="C171" s="164" t="s">
        <v>119</v>
      </c>
      <c r="D171" s="37" t="str">
        <f ca="1">IF($E171&gt;0,"YES"," ")</f>
        <v xml:space="preserve"> </v>
      </c>
      <c r="E171" s="347" cm="1">
        <f t="array" aca="1" ref="E171" ca="1">INDIRECT("'Worksheet 2'!$X"&amp;$B163)</f>
        <v>0</v>
      </c>
      <c r="F171" s="39"/>
      <c r="G171" s="20"/>
      <c r="H171" s="347" t="str" cm="1">
        <f t="array" aca="1" ref="H171" ca="1">INDIRECT("'Worksheet 2'!$R"&amp;$B163)</f>
        <v xml:space="preserve"> </v>
      </c>
      <c r="I171" s="446"/>
      <c r="J171" s="40"/>
      <c r="L171" s="164" t="s">
        <v>119</v>
      </c>
      <c r="M171" s="37" t="str">
        <f t="shared" ca="1" si="12"/>
        <v xml:space="preserve"> </v>
      </c>
      <c r="N171" s="38">
        <f ca="1">E171</f>
        <v>0</v>
      </c>
      <c r="O171" s="39"/>
      <c r="P171" s="20"/>
      <c r="Q171" s="159" t="str">
        <f ca="1">H171</f>
        <v xml:space="preserve"> </v>
      </c>
      <c r="R171" s="446"/>
    </row>
    <row r="172" spans="1:18" ht="15.75" customHeight="1">
      <c r="C172" s="164" t="s">
        <v>13</v>
      </c>
      <c r="D172" s="347" cm="1">
        <f t="array" aca="1" ref="D172" ca="1">INDIRECT("'Worksheet 2'!$W"&amp;$B163)</f>
        <v>0</v>
      </c>
      <c r="E172" s="22"/>
      <c r="F172" s="23"/>
      <c r="G172" s="22"/>
      <c r="H172" s="347" t="str" cm="1">
        <f t="array" aca="1" ref="H172" ca="1">INDIRECT("'Worksheet 2'!$P"&amp;$B163)</f>
        <v xml:space="preserve"> </v>
      </c>
      <c r="I172" s="447"/>
      <c r="L172" s="164" t="s">
        <v>13</v>
      </c>
      <c r="M172" s="21">
        <f t="shared" ca="1" si="12"/>
        <v>0</v>
      </c>
      <c r="N172" s="22"/>
      <c r="O172" s="23"/>
      <c r="P172" s="22"/>
      <c r="Q172" s="159" t="str">
        <f ca="1">H172</f>
        <v xml:space="preserve"> </v>
      </c>
      <c r="R172" s="447"/>
    </row>
    <row r="173" spans="1:18" ht="23.25">
      <c r="C173" s="348" cm="1">
        <f t="array" aca="1" ref="C173" ca="1">INDIRECT("'Worksheet 2'!$J"&amp;$B163)</f>
        <v>0</v>
      </c>
      <c r="D173" s="444" t="b" cm="1">
        <f t="array" aca="1" ref="D173" ca="1">IF(INDIRECT("'Worksheet 2'!$D"&amp;$B163)=1, "Left of Pair", IF(INDIRECT("'Worksheet 2'!$E"&amp;$B163)=1, "Panel"))</f>
        <v>0</v>
      </c>
      <c r="E173" s="444"/>
      <c r="F173" s="444"/>
      <c r="G173" s="374"/>
      <c r="H173" s="374" t="str" cm="1">
        <f t="array" aca="1" ref="H173" ca="1">IF(INDIRECT("'Worksheet 2'!$F"&amp;$B163)="st","SOR T&amp;B"," ")</f>
        <v xml:space="preserve"> </v>
      </c>
      <c r="I173" s="415">
        <f>IF(Worksheet!$D$46&gt;0,Worksheet!$D$46," ")</f>
        <v>30</v>
      </c>
      <c r="L173" s="41">
        <f ca="1">$C173</f>
        <v>0</v>
      </c>
      <c r="M173" s="444" t="b" cm="1">
        <f t="array" aca="1" ref="M173" ca="1">IF(INDIRECT("'Worksheet 2'!$D"&amp;$B163)=1, "Right of Pair", IF(INDIRECT("'Worksheet 2'!$E"&amp;$B163)=1, "Do Not Use"))</f>
        <v>0</v>
      </c>
      <c r="N173" s="444"/>
      <c r="O173" s="444"/>
      <c r="P173" s="374"/>
      <c r="Q173" s="374"/>
      <c r="R173" s="415">
        <f>IF(Worksheet!$D$46&gt;0,Worksheet!$D$46," ")</f>
        <v>30</v>
      </c>
    </row>
    <row r="175" spans="1:18">
      <c r="O175" s="18" t="s">
        <v>107</v>
      </c>
    </row>
    <row r="176" spans="1:18" ht="30" customHeight="1"/>
    <row r="177" spans="1:18" ht="19.5">
      <c r="A177" t="s">
        <v>37</v>
      </c>
      <c r="B177">
        <v>24</v>
      </c>
      <c r="C177" s="164" t="s">
        <v>113</v>
      </c>
      <c r="D177" s="21" t="str">
        <f>+'Worksheet 2'!$W$4</f>
        <v>Windcrest WO#J5121027-00234.01</v>
      </c>
      <c r="E177" s="22"/>
      <c r="F177" s="23"/>
      <c r="G177" s="22"/>
      <c r="H177" s="24"/>
      <c r="I177" s="25">
        <f>+'Worksheet 2'!$AR$1</f>
        <v>0</v>
      </c>
      <c r="J177" s="26"/>
      <c r="L177" s="164" t="s">
        <v>113</v>
      </c>
      <c r="M177" s="21" t="str">
        <f>+'Worksheet 2'!$W$4</f>
        <v>Windcrest WO#J5121027-00234.01</v>
      </c>
      <c r="N177" s="22"/>
      <c r="O177" s="23"/>
      <c r="P177" s="22"/>
      <c r="Q177" s="24"/>
      <c r="R177" s="25">
        <f>+'Worksheet 2'!$AR$1</f>
        <v>0</v>
      </c>
    </row>
    <row r="178" spans="1:18" ht="32.25">
      <c r="C178" s="165" t="s">
        <v>128</v>
      </c>
      <c r="D178" s="150" cm="1">
        <f t="array" aca="1" ref="D178" ca="1">INDIRECT("'Worksheet 2'!$K"&amp;$B177)</f>
        <v>0</v>
      </c>
      <c r="E178" s="151" t="s">
        <v>115</v>
      </c>
      <c r="F178" s="150" cm="1">
        <f t="array" aca="1" ref="F178" ca="1">INDIRECT("'Worksheet 2'!$M"&amp;$B177)</f>
        <v>0</v>
      </c>
      <c r="G178" s="151" t="s">
        <v>122</v>
      </c>
      <c r="H178" s="150" cm="1">
        <f t="array" aca="1" ref="H178" ca="1">INDIRECT("'Worksheet 2'!$O"&amp;$B177)</f>
        <v>0</v>
      </c>
      <c r="I178" s="29" t="str">
        <f>+IF('Worksheet 2'!$R$34=1,"Install",IF('Worksheet 2'!$R$34=2,"Ship",IF('Worksheet 2'!$R$34=3,"Deliver",IF('Worksheet 2'!$R$34=4,"Will Call"))))</f>
        <v>Install</v>
      </c>
      <c r="J178" s="30"/>
      <c r="L178" s="165" t="s">
        <v>128</v>
      </c>
      <c r="M178" s="150">
        <f t="shared" ref="M178:M186" ca="1" si="13">D178</f>
        <v>0</v>
      </c>
      <c r="N178" s="151" t="s">
        <v>115</v>
      </c>
      <c r="O178" s="152">
        <f ca="1">F178</f>
        <v>0</v>
      </c>
      <c r="P178" s="151" t="s">
        <v>122</v>
      </c>
      <c r="Q178" s="153">
        <f ca="1">H178</f>
        <v>0</v>
      </c>
      <c r="R178" s="29" t="str">
        <f>+IF('Worksheet 2'!$R$34=1,"Install",IF('Worksheet 2'!$R$34=2,"Ship",IF('Worksheet 2'!$R$34=3,"Deliver",IF('Worksheet 2'!$R$34=4,"Will Call"))))</f>
        <v>Install</v>
      </c>
    </row>
    <row r="179" spans="1:18" ht="12.75" customHeight="1">
      <c r="C179" s="164" t="s">
        <v>121</v>
      </c>
      <c r="D179" s="19" t="b">
        <f ca="1">+IF($D187="Left of Pair",((D178+F178)*'Worksheet 2'!AE183)/2,IF($D187="Panel",(D178+F178)*'Worksheet 2'!AE183,IF($H187="SOR",D178*2.5+6,IF($H187="SOR T&amp;B",D178*2.5+6))))</f>
        <v>0</v>
      </c>
      <c r="E179" s="19" t="s">
        <v>122</v>
      </c>
      <c r="F179" s="369">
        <f ca="1">H178+15</f>
        <v>15</v>
      </c>
      <c r="G179" s="448" cm="1">
        <f t="array" aca="1" ref="G179" ca="1">INDIRECT("'Worksheet 2'!$Y"&amp;$B177)</f>
        <v>0</v>
      </c>
      <c r="H179" s="448"/>
      <c r="I179" s="449"/>
      <c r="L179" s="164" t="s">
        <v>121</v>
      </c>
      <c r="M179" t="b">
        <f t="shared" ca="1" si="13"/>
        <v>0</v>
      </c>
      <c r="N179" s="19" t="s">
        <v>122</v>
      </c>
      <c r="O179" s="369">
        <f ca="1">F179</f>
        <v>15</v>
      </c>
      <c r="P179" s="450">
        <f ca="1">G179</f>
        <v>0</v>
      </c>
      <c r="Q179" s="450"/>
      <c r="R179" s="451"/>
    </row>
    <row r="180" spans="1:18" ht="19.5" customHeight="1">
      <c r="C180" s="166"/>
      <c r="D180" s="161" t="b" cm="1">
        <f t="array" aca="1" ref="D180" ca="1">IF($D187="Left of Pair",INDIRECT("'Worksheet 2'!$Q"&amp;$B177)/2,IF($D187="Panel",INDIRECT("'Worksheet 2'!$Q"&amp;$B177)))</f>
        <v>0</v>
      </c>
      <c r="E180" s="42" t="s">
        <v>41</v>
      </c>
      <c r="F180" s="370"/>
      <c r="G180" s="448"/>
      <c r="H180" s="448"/>
      <c r="I180" s="449"/>
      <c r="L180" s="166"/>
      <c r="M180" s="161" t="b">
        <f t="shared" ca="1" si="13"/>
        <v>0</v>
      </c>
      <c r="N180" s="42" t="s">
        <v>41</v>
      </c>
      <c r="O180" s="370"/>
      <c r="P180" s="450"/>
      <c r="Q180" s="452"/>
      <c r="R180" s="453"/>
    </row>
    <row r="181" spans="1:18" ht="15.75">
      <c r="C181" s="164" t="s">
        <v>135</v>
      </c>
      <c r="D181" s="19" t="str">
        <f ca="1">+IF(D185="yes",IF($D187="Left of Pair",($D182*$H185),IF($D187="Panel",$D182*$H185,IF($H187="SOR",$D182*$H185," ")))," ")</f>
        <v xml:space="preserve"> </v>
      </c>
      <c r="E181" s="19" t="s">
        <v>122</v>
      </c>
      <c r="F181" s="369" t="str">
        <f ca="1">IF(D185="YES",H178+12," ")</f>
        <v xml:space="preserve"> </v>
      </c>
      <c r="H181" s="343" t="s">
        <v>10</v>
      </c>
      <c r="I181" s="371" cm="1">
        <f t="array" aca="1" ref="I181" ca="1">INDIRECT("'Worksheet 2'!$Q"&amp;B177)</f>
        <v>0</v>
      </c>
      <c r="L181" s="164" t="s">
        <v>135</v>
      </c>
      <c r="M181" t="str">
        <f t="shared" ca="1" si="13"/>
        <v xml:space="preserve"> </v>
      </c>
      <c r="N181" s="19" t="s">
        <v>122</v>
      </c>
      <c r="O181" s="369" t="str">
        <f ca="1">F181</f>
        <v xml:space="preserve"> </v>
      </c>
      <c r="P181" s="19"/>
      <c r="Q181" s="343" t="s">
        <v>10</v>
      </c>
      <c r="R181" s="160">
        <f ca="1">I181</f>
        <v>0</v>
      </c>
    </row>
    <row r="182" spans="1:18">
      <c r="C182" s="167"/>
      <c r="D182" s="161" t="str" cm="1">
        <f t="array" aca="1" ref="D182" ca="1">IF(D185="yes",IF($D187="Left of Pair",INDIRECT("'Worksheet 2'!$S"&amp;$B177)/2,IF($D187="Panel",INDIRECT("'Worksheet 2'!$S"&amp;$B177)))," ")</f>
        <v xml:space="preserve"> </v>
      </c>
      <c r="E182" s="345" t="s">
        <v>41</v>
      </c>
      <c r="F182" s="372"/>
      <c r="G182" s="20"/>
      <c r="H182" s="343" t="s">
        <v>116</v>
      </c>
      <c r="I182" s="32">
        <f ca="1">IF(D187="Left of Pair",(D178+F178)/2,D178+F178)</f>
        <v>0</v>
      </c>
      <c r="L182" s="167"/>
      <c r="M182" s="344" t="str">
        <f t="shared" ca="1" si="13"/>
        <v xml:space="preserve"> </v>
      </c>
      <c r="N182" s="345" t="s">
        <v>41</v>
      </c>
      <c r="O182" s="372"/>
      <c r="P182" s="20"/>
      <c r="Q182" s="343" t="s">
        <v>116</v>
      </c>
      <c r="R182" s="32">
        <f ca="1">I182</f>
        <v>0</v>
      </c>
    </row>
    <row r="183" spans="1:18" ht="12.75" customHeight="1">
      <c r="C183" s="168" t="s">
        <v>114</v>
      </c>
      <c r="D183" s="373" cm="1">
        <f t="array" aca="1" ref="D183" ca="1">INDIRECT("'Worksheet 2'!$B"&amp;$B177)</f>
        <v>0</v>
      </c>
      <c r="E183" s="22"/>
      <c r="F183" s="23"/>
      <c r="G183" s="22"/>
      <c r="H183" s="24"/>
      <c r="I183" s="445" t="str" cm="1">
        <f t="array" aca="1" ref="I183" ca="1">INDIRECT("'Worksheet 2'!$A"&amp;$B177)</f>
        <v>P2-34</v>
      </c>
      <c r="L183" s="168" t="s">
        <v>114</v>
      </c>
      <c r="M183" s="31">
        <f t="shared" ca="1" si="13"/>
        <v>0</v>
      </c>
      <c r="N183" s="20"/>
      <c r="O183" s="33"/>
      <c r="P183" s="27"/>
      <c r="Q183" s="24"/>
      <c r="R183" s="445" t="str">
        <f ca="1">I183</f>
        <v>P2-34</v>
      </c>
    </row>
    <row r="184" spans="1:18" ht="15.75" customHeight="1">
      <c r="C184" s="164" t="s">
        <v>117</v>
      </c>
      <c r="D184" s="346" cm="1">
        <f t="array" aca="1" ref="D184" ca="1">INDIRECT("'Worksheet 2'!$H"&amp;$B177)</f>
        <v>0</v>
      </c>
      <c r="E184" s="20"/>
      <c r="F184" s="169" t="s">
        <v>118</v>
      </c>
      <c r="G184" s="35"/>
      <c r="H184" s="36" t="str">
        <f>+IF('Worksheet 2'!$R$38=TRUE,"Yes",IF('Worksheet 2'!$R$38=FALSE,"No"))</f>
        <v>Yes</v>
      </c>
      <c r="I184" s="446"/>
      <c r="L184" s="164" t="s">
        <v>117</v>
      </c>
      <c r="M184" s="34">
        <f t="shared" ca="1" si="13"/>
        <v>0</v>
      </c>
      <c r="N184" s="20"/>
      <c r="O184" s="169" t="s">
        <v>118</v>
      </c>
      <c r="P184" s="35"/>
      <c r="Q184" s="36" t="str">
        <f>H184</f>
        <v>Yes</v>
      </c>
      <c r="R184" s="446"/>
    </row>
    <row r="185" spans="1:18" ht="15.75" customHeight="1">
      <c r="C185" s="164" t="s">
        <v>119</v>
      </c>
      <c r="D185" s="37" t="str">
        <f ca="1">IF($E185&gt;0,"YES"," ")</f>
        <v xml:space="preserve"> </v>
      </c>
      <c r="E185" s="347" cm="1">
        <f t="array" aca="1" ref="E185" ca="1">INDIRECT("'Worksheet 2'!$X"&amp;$B177)</f>
        <v>0</v>
      </c>
      <c r="F185" s="39"/>
      <c r="G185" s="20"/>
      <c r="H185" s="347" t="str" cm="1">
        <f t="array" aca="1" ref="H185" ca="1">INDIRECT("'Worksheet 2'!$R"&amp;$B177)</f>
        <v xml:space="preserve"> </v>
      </c>
      <c r="I185" s="446"/>
      <c r="J185" s="40"/>
      <c r="L185" s="164" t="s">
        <v>119</v>
      </c>
      <c r="M185" s="37" t="str">
        <f t="shared" ca="1" si="13"/>
        <v xml:space="preserve"> </v>
      </c>
      <c r="N185" s="38">
        <f ca="1">E185</f>
        <v>0</v>
      </c>
      <c r="O185" s="39"/>
      <c r="P185" s="20"/>
      <c r="Q185" s="159" t="str">
        <f ca="1">H185</f>
        <v xml:space="preserve"> </v>
      </c>
      <c r="R185" s="446"/>
    </row>
    <row r="186" spans="1:18" ht="15.75" customHeight="1">
      <c r="C186" s="164" t="s">
        <v>13</v>
      </c>
      <c r="D186" s="347" cm="1">
        <f t="array" aca="1" ref="D186" ca="1">INDIRECT("'Worksheet 2'!$W"&amp;$B177)</f>
        <v>0</v>
      </c>
      <c r="E186" s="22"/>
      <c r="F186" s="23"/>
      <c r="G186" s="22"/>
      <c r="H186" s="347" t="str" cm="1">
        <f t="array" aca="1" ref="H186" ca="1">INDIRECT("'Worksheet 2'!$P"&amp;$B177)</f>
        <v xml:space="preserve"> </v>
      </c>
      <c r="I186" s="447"/>
      <c r="L186" s="164" t="s">
        <v>13</v>
      </c>
      <c r="M186" s="21">
        <f t="shared" ca="1" si="13"/>
        <v>0</v>
      </c>
      <c r="N186" s="22"/>
      <c r="O186" s="23"/>
      <c r="P186" s="22"/>
      <c r="Q186" s="159" t="str">
        <f ca="1">H186</f>
        <v xml:space="preserve"> </v>
      </c>
      <c r="R186" s="447"/>
    </row>
    <row r="187" spans="1:18" ht="23.25">
      <c r="C187" s="348" cm="1">
        <f t="array" aca="1" ref="C187" ca="1">INDIRECT("'Worksheet 2'!$J"&amp;$B177)</f>
        <v>0</v>
      </c>
      <c r="D187" s="444" t="b" cm="1">
        <f t="array" aca="1" ref="D187" ca="1">IF(INDIRECT("'Worksheet 2'!$D"&amp;$B177)=1, "Left of Pair", IF(INDIRECT("'Worksheet 2'!$E"&amp;$B177)=1, "Panel"))</f>
        <v>0</v>
      </c>
      <c r="E187" s="444"/>
      <c r="F187" s="444"/>
      <c r="G187" s="374"/>
      <c r="H187" s="374" t="str" cm="1">
        <f t="array" aca="1" ref="H187" ca="1">IF(INDIRECT("'Worksheet 2'!$F"&amp;$B177)="st","SOR T&amp;B"," ")</f>
        <v xml:space="preserve"> </v>
      </c>
      <c r="I187" s="415">
        <f>IF(Worksheet!$D$46&gt;0,Worksheet!$D$46," ")</f>
        <v>30</v>
      </c>
      <c r="L187" s="41">
        <f ca="1">$C187</f>
        <v>0</v>
      </c>
      <c r="M187" s="444" t="b" cm="1">
        <f t="array" aca="1" ref="M187" ca="1">IF(INDIRECT("'Worksheet 2'!$D"&amp;$B177)=1, "Right of Pair", IF(INDIRECT("'Worksheet 2'!$E"&amp;$B177)=1, "Do Not Use"))</f>
        <v>0</v>
      </c>
      <c r="N187" s="444"/>
      <c r="O187" s="444"/>
      <c r="P187" s="374"/>
      <c r="Q187" s="374"/>
      <c r="R187" s="415">
        <f>IF(Worksheet!$D$46&gt;0,Worksheet!$D$46," ")</f>
        <v>30</v>
      </c>
    </row>
    <row r="190" spans="1:18" ht="30" customHeight="1"/>
    <row r="191" spans="1:18" ht="19.5">
      <c r="A191" t="s">
        <v>43</v>
      </c>
      <c r="B191">
        <v>25</v>
      </c>
      <c r="C191" s="164" t="s">
        <v>113</v>
      </c>
      <c r="D191" s="21" t="str">
        <f>+'Worksheet 2'!$W$4</f>
        <v>Windcrest WO#J5121027-00234.01</v>
      </c>
      <c r="E191" s="22"/>
      <c r="F191" s="23"/>
      <c r="G191" s="22"/>
      <c r="H191" s="24"/>
      <c r="I191" s="25">
        <f>+'Worksheet 2'!$AR$1</f>
        <v>0</v>
      </c>
      <c r="J191" s="26"/>
      <c r="L191" s="164" t="s">
        <v>113</v>
      </c>
      <c r="M191" s="21" t="str">
        <f>+'Worksheet 2'!$W$4</f>
        <v>Windcrest WO#J5121027-00234.01</v>
      </c>
      <c r="N191" s="22"/>
      <c r="O191" s="23"/>
      <c r="P191" s="22"/>
      <c r="Q191" s="24"/>
      <c r="R191" s="25">
        <f>+'Worksheet 2'!$AR$1</f>
        <v>0</v>
      </c>
    </row>
    <row r="192" spans="1:18" ht="32.25">
      <c r="C192" s="165" t="s">
        <v>128</v>
      </c>
      <c r="D192" s="150" cm="1">
        <f t="array" aca="1" ref="D192" ca="1">INDIRECT("'Worksheet 2'!$K"&amp;$B191)</f>
        <v>0</v>
      </c>
      <c r="E192" s="151" t="s">
        <v>115</v>
      </c>
      <c r="F192" s="150" cm="1">
        <f t="array" aca="1" ref="F192" ca="1">INDIRECT("'Worksheet 2'!$M"&amp;$B191)</f>
        <v>0</v>
      </c>
      <c r="G192" s="151" t="s">
        <v>122</v>
      </c>
      <c r="H192" s="150" cm="1">
        <f t="array" aca="1" ref="H192" ca="1">INDIRECT("'Worksheet 2'!$O"&amp;$B191)</f>
        <v>0</v>
      </c>
      <c r="I192" s="29" t="str">
        <f>+IF('Worksheet 2'!$R$34=1,"Install",IF('Worksheet 2'!$R$34=2,"Ship",IF('Worksheet 2'!$R$34=3,"Deliver",IF('Worksheet 2'!$R$34=4,"Will Call"))))</f>
        <v>Install</v>
      </c>
      <c r="J192" s="30"/>
      <c r="L192" s="165" t="s">
        <v>128</v>
      </c>
      <c r="M192" s="150">
        <f t="shared" ref="M192:M200" ca="1" si="14">D192</f>
        <v>0</v>
      </c>
      <c r="N192" s="151" t="s">
        <v>115</v>
      </c>
      <c r="O192" s="152">
        <f ca="1">F192</f>
        <v>0</v>
      </c>
      <c r="P192" s="151" t="s">
        <v>122</v>
      </c>
      <c r="Q192" s="153">
        <f ca="1">H192</f>
        <v>0</v>
      </c>
      <c r="R192" s="29" t="str">
        <f>+IF('Worksheet 2'!$R$34=1,"Install",IF('Worksheet 2'!$R$34=2,"Ship",IF('Worksheet 2'!$R$34=3,"Deliver",IF('Worksheet 2'!$R$34=4,"Will Call"))))</f>
        <v>Install</v>
      </c>
    </row>
    <row r="193" spans="1:18" ht="12.75" customHeight="1">
      <c r="C193" s="164" t="s">
        <v>121</v>
      </c>
      <c r="D193" s="19" t="b">
        <f ca="1">+IF($D201="Left of Pair",((D192+F192)*'Worksheet 2'!AE197)/2,IF($D201="Panel",(D192+F192)*'Worksheet 2'!AE197,IF($H201="SOR",D192*2.5+6,IF($H201="SOR T&amp;B",D192*2.5+6))))</f>
        <v>0</v>
      </c>
      <c r="E193" s="19" t="s">
        <v>122</v>
      </c>
      <c r="F193" s="369">
        <f ca="1">H192+15</f>
        <v>15</v>
      </c>
      <c r="G193" s="448" cm="1">
        <f t="array" aca="1" ref="G193" ca="1">INDIRECT("'Worksheet 2'!$Y"&amp;$B191)</f>
        <v>0</v>
      </c>
      <c r="H193" s="448"/>
      <c r="I193" s="449"/>
      <c r="L193" s="164" t="s">
        <v>121</v>
      </c>
      <c r="M193" t="b">
        <f t="shared" ca="1" si="14"/>
        <v>0</v>
      </c>
      <c r="N193" s="19" t="s">
        <v>122</v>
      </c>
      <c r="O193" s="369">
        <f ca="1">F193</f>
        <v>15</v>
      </c>
      <c r="P193" s="450">
        <f ca="1">G193</f>
        <v>0</v>
      </c>
      <c r="Q193" s="450"/>
      <c r="R193" s="451"/>
    </row>
    <row r="194" spans="1:18" ht="19.5" customHeight="1">
      <c r="C194" s="166"/>
      <c r="D194" s="161" t="b" cm="1">
        <f t="array" aca="1" ref="D194" ca="1">IF($D201="Left of Pair",INDIRECT("'Worksheet 2'!$Q"&amp;$B191)/2,IF($D201="Panel",INDIRECT("'Worksheet 2'!$Q"&amp;$B191)))</f>
        <v>0</v>
      </c>
      <c r="E194" s="42" t="s">
        <v>41</v>
      </c>
      <c r="F194" s="370"/>
      <c r="G194" s="448"/>
      <c r="H194" s="448"/>
      <c r="I194" s="449"/>
      <c r="L194" s="166"/>
      <c r="M194" s="161" t="b">
        <f t="shared" ca="1" si="14"/>
        <v>0</v>
      </c>
      <c r="N194" s="42" t="s">
        <v>41</v>
      </c>
      <c r="O194" s="370"/>
      <c r="P194" s="450"/>
      <c r="Q194" s="452"/>
      <c r="R194" s="453"/>
    </row>
    <row r="195" spans="1:18" ht="15.75">
      <c r="C195" s="164" t="s">
        <v>135</v>
      </c>
      <c r="D195" s="19" t="str">
        <f ca="1">+IF(D199="yes",IF($D201="Left of Pair",($D196*$H199),IF($D201="Panel",$D196*$H199,IF($H201="SOR",$D196*$H199," ")))," ")</f>
        <v xml:space="preserve"> </v>
      </c>
      <c r="E195" s="19" t="s">
        <v>122</v>
      </c>
      <c r="F195" s="369" t="str">
        <f ca="1">IF(D199="YES",H192+12," ")</f>
        <v xml:space="preserve"> </v>
      </c>
      <c r="H195" s="343" t="s">
        <v>10</v>
      </c>
      <c r="I195" s="371" cm="1">
        <f t="array" aca="1" ref="I195" ca="1">INDIRECT("'Worksheet 2'!$Q"&amp;B191)</f>
        <v>0</v>
      </c>
      <c r="L195" s="164" t="s">
        <v>135</v>
      </c>
      <c r="M195" t="str">
        <f t="shared" ca="1" si="14"/>
        <v xml:space="preserve"> </v>
      </c>
      <c r="N195" s="19" t="s">
        <v>122</v>
      </c>
      <c r="O195" s="369" t="str">
        <f ca="1">F195</f>
        <v xml:space="preserve"> </v>
      </c>
      <c r="P195" s="19"/>
      <c r="Q195" s="343" t="s">
        <v>10</v>
      </c>
      <c r="R195" s="160">
        <f ca="1">I195</f>
        <v>0</v>
      </c>
    </row>
    <row r="196" spans="1:18">
      <c r="C196" s="167"/>
      <c r="D196" s="161" t="str" cm="1">
        <f t="array" aca="1" ref="D196" ca="1">IF(D199="yes",IF($D201="Left of Pair",INDIRECT("'Worksheet 2'!$S"&amp;$B191)/2,IF($D201="Panel",INDIRECT("'Worksheet 2'!$S"&amp;$B191)))," ")</f>
        <v xml:space="preserve"> </v>
      </c>
      <c r="E196" s="345" t="s">
        <v>41</v>
      </c>
      <c r="F196" s="372"/>
      <c r="G196" s="20"/>
      <c r="H196" s="343" t="s">
        <v>116</v>
      </c>
      <c r="I196" s="32">
        <f ca="1">IF(D201="Left of Pair",(D192+F192)/2,D192+F192)</f>
        <v>0</v>
      </c>
      <c r="L196" s="167"/>
      <c r="M196" s="344" t="str">
        <f t="shared" ca="1" si="14"/>
        <v xml:space="preserve"> </v>
      </c>
      <c r="N196" s="345" t="s">
        <v>41</v>
      </c>
      <c r="O196" s="372"/>
      <c r="P196" s="20"/>
      <c r="Q196" s="343" t="s">
        <v>116</v>
      </c>
      <c r="R196" s="32">
        <f ca="1">I196</f>
        <v>0</v>
      </c>
    </row>
    <row r="197" spans="1:18" ht="12.75" customHeight="1">
      <c r="C197" s="168" t="s">
        <v>114</v>
      </c>
      <c r="D197" s="373" cm="1">
        <f t="array" aca="1" ref="D197" ca="1">INDIRECT("'Worksheet 2'!$B"&amp;$B191)</f>
        <v>0</v>
      </c>
      <c r="E197" s="22"/>
      <c r="F197" s="23"/>
      <c r="G197" s="22"/>
      <c r="H197" s="24"/>
      <c r="I197" s="445" t="str" cm="1">
        <f t="array" aca="1" ref="I197" ca="1">INDIRECT("'Worksheet 2'!$A"&amp;$B191)</f>
        <v>P2-35</v>
      </c>
      <c r="L197" s="168" t="s">
        <v>114</v>
      </c>
      <c r="M197" s="31">
        <f t="shared" ca="1" si="14"/>
        <v>0</v>
      </c>
      <c r="N197" s="20"/>
      <c r="O197" s="33"/>
      <c r="P197" s="27"/>
      <c r="Q197" s="24"/>
      <c r="R197" s="445" t="str">
        <f ca="1">I197</f>
        <v>P2-35</v>
      </c>
    </row>
    <row r="198" spans="1:18" ht="15.75" customHeight="1">
      <c r="C198" s="164" t="s">
        <v>117</v>
      </c>
      <c r="D198" s="346" cm="1">
        <f t="array" aca="1" ref="D198" ca="1">INDIRECT("'Worksheet 2'!$H"&amp;$B191)</f>
        <v>0</v>
      </c>
      <c r="E198" s="20"/>
      <c r="F198" s="169" t="s">
        <v>118</v>
      </c>
      <c r="G198" s="35"/>
      <c r="H198" s="36" t="str">
        <f>+IF('Worksheet 2'!$R$38=TRUE,"Yes",IF('Worksheet 2'!$R$38=FALSE,"No"))</f>
        <v>Yes</v>
      </c>
      <c r="I198" s="446"/>
      <c r="L198" s="164" t="s">
        <v>117</v>
      </c>
      <c r="M198" s="34">
        <f t="shared" ca="1" si="14"/>
        <v>0</v>
      </c>
      <c r="N198" s="20"/>
      <c r="O198" s="169" t="s">
        <v>118</v>
      </c>
      <c r="P198" s="35"/>
      <c r="Q198" s="36" t="str">
        <f>H198</f>
        <v>Yes</v>
      </c>
      <c r="R198" s="446"/>
    </row>
    <row r="199" spans="1:18" ht="15.75" customHeight="1">
      <c r="C199" s="164" t="s">
        <v>119</v>
      </c>
      <c r="D199" s="37" t="str">
        <f ca="1">IF($E199&gt;0,"YES"," ")</f>
        <v xml:space="preserve"> </v>
      </c>
      <c r="E199" s="347" cm="1">
        <f t="array" aca="1" ref="E199" ca="1">INDIRECT("'Worksheet 2'!$X"&amp;$B191)</f>
        <v>0</v>
      </c>
      <c r="F199" s="39"/>
      <c r="G199" s="20"/>
      <c r="H199" s="347" t="str" cm="1">
        <f t="array" aca="1" ref="H199" ca="1">INDIRECT("'Worksheet 2'!$R"&amp;$B191)</f>
        <v xml:space="preserve"> </v>
      </c>
      <c r="I199" s="446"/>
      <c r="J199" s="40"/>
      <c r="L199" s="164" t="s">
        <v>119</v>
      </c>
      <c r="M199" s="37" t="str">
        <f t="shared" ca="1" si="14"/>
        <v xml:space="preserve"> </v>
      </c>
      <c r="N199" s="38">
        <f ca="1">E199</f>
        <v>0</v>
      </c>
      <c r="O199" s="39"/>
      <c r="P199" s="20"/>
      <c r="Q199" s="159" t="str">
        <f ca="1">H199</f>
        <v xml:space="preserve"> </v>
      </c>
      <c r="R199" s="446"/>
    </row>
    <row r="200" spans="1:18" ht="15.75" customHeight="1">
      <c r="C200" s="164" t="s">
        <v>13</v>
      </c>
      <c r="D200" s="347" cm="1">
        <f t="array" aca="1" ref="D200" ca="1">INDIRECT("'Worksheet 2'!$W"&amp;$B191)</f>
        <v>0</v>
      </c>
      <c r="E200" s="22"/>
      <c r="F200" s="23"/>
      <c r="G200" s="22"/>
      <c r="H200" s="347" t="str" cm="1">
        <f t="array" aca="1" ref="H200" ca="1">INDIRECT("'Worksheet 2'!$P"&amp;$B191)</f>
        <v xml:space="preserve"> </v>
      </c>
      <c r="I200" s="447"/>
      <c r="L200" s="164" t="s">
        <v>13</v>
      </c>
      <c r="M200" s="21">
        <f t="shared" ca="1" si="14"/>
        <v>0</v>
      </c>
      <c r="N200" s="22"/>
      <c r="O200" s="23"/>
      <c r="P200" s="22"/>
      <c r="Q200" s="159" t="str">
        <f ca="1">H200</f>
        <v xml:space="preserve"> </v>
      </c>
      <c r="R200" s="447"/>
    </row>
    <row r="201" spans="1:18" ht="23.25">
      <c r="C201" s="348" cm="1">
        <f t="array" aca="1" ref="C201" ca="1">INDIRECT("'Worksheet 2'!$J"&amp;$B191)</f>
        <v>0</v>
      </c>
      <c r="D201" s="444" t="b" cm="1">
        <f t="array" aca="1" ref="D201" ca="1">IF(INDIRECT("'Worksheet 2'!$D"&amp;$B191)=1, "Left of Pair", IF(INDIRECT("'Worksheet 2'!$E"&amp;$B191)=1, "Panel"))</f>
        <v>0</v>
      </c>
      <c r="E201" s="444"/>
      <c r="F201" s="444"/>
      <c r="G201" s="374"/>
      <c r="H201" s="374" t="str" cm="1">
        <f t="array" aca="1" ref="H201" ca="1">IF(INDIRECT("'Worksheet 2'!$F"&amp;$B191)="st","SOR T&amp;B"," ")</f>
        <v xml:space="preserve"> </v>
      </c>
      <c r="I201" s="415">
        <f>IF(Worksheet!$D$46&gt;0,Worksheet!$D$46," ")</f>
        <v>30</v>
      </c>
      <c r="L201" s="41">
        <f ca="1">$C201</f>
        <v>0</v>
      </c>
      <c r="M201" s="444" t="b" cm="1">
        <f t="array" aca="1" ref="M201" ca="1">IF(INDIRECT("'Worksheet 2'!$D"&amp;$B191)=1, "Right of Pair", IF(INDIRECT("'Worksheet 2'!$E"&amp;$B191)=1, "Do Not Use"))</f>
        <v>0</v>
      </c>
      <c r="N201" s="444"/>
      <c r="O201" s="444"/>
      <c r="P201" s="374"/>
      <c r="Q201" s="374"/>
      <c r="R201" s="415">
        <f>IF(Worksheet!$D$46&gt;0,Worksheet!$D$46," ")</f>
        <v>30</v>
      </c>
    </row>
    <row r="203" spans="1:18">
      <c r="O203" s="18" t="s">
        <v>107</v>
      </c>
    </row>
    <row r="204" spans="1:18" ht="30" customHeight="1"/>
    <row r="205" spans="1:18" ht="19.5">
      <c r="A205" t="s">
        <v>44</v>
      </c>
      <c r="B205">
        <v>26</v>
      </c>
      <c r="C205" s="164" t="s">
        <v>113</v>
      </c>
      <c r="D205" s="21" t="str">
        <f>+'Worksheet 2'!$W$4</f>
        <v>Windcrest WO#J5121027-00234.01</v>
      </c>
      <c r="E205" s="22"/>
      <c r="F205" s="23"/>
      <c r="G205" s="22"/>
      <c r="H205" s="24"/>
      <c r="I205" s="25">
        <f>+'Worksheet 2'!$AR$1</f>
        <v>0</v>
      </c>
      <c r="J205" s="26"/>
      <c r="L205" s="164" t="s">
        <v>113</v>
      </c>
      <c r="M205" s="21" t="str">
        <f>+'Worksheet 2'!$W$4</f>
        <v>Windcrest WO#J5121027-00234.01</v>
      </c>
      <c r="N205" s="22"/>
      <c r="O205" s="23"/>
      <c r="P205" s="22"/>
      <c r="Q205" s="24"/>
      <c r="R205" s="25">
        <f>+'Worksheet 2'!$AR$1</f>
        <v>0</v>
      </c>
    </row>
    <row r="206" spans="1:18" ht="32.25">
      <c r="C206" s="165" t="s">
        <v>128</v>
      </c>
      <c r="D206" s="150" cm="1">
        <f t="array" aca="1" ref="D206" ca="1">INDIRECT("'Worksheet 2'!$K"&amp;$B205)</f>
        <v>0</v>
      </c>
      <c r="E206" s="151" t="s">
        <v>115</v>
      </c>
      <c r="F206" s="150" cm="1">
        <f t="array" aca="1" ref="F206" ca="1">INDIRECT("'Worksheet 2'!$M"&amp;$B205)</f>
        <v>0</v>
      </c>
      <c r="G206" s="151" t="s">
        <v>122</v>
      </c>
      <c r="H206" s="150" cm="1">
        <f t="array" aca="1" ref="H206" ca="1">INDIRECT("'Worksheet 2'!$O"&amp;$B205)</f>
        <v>0</v>
      </c>
      <c r="I206" s="29" t="str">
        <f>+IF('Worksheet 2'!$R$34=1,"Install",IF('Worksheet 2'!$R$34=2,"Ship",IF('Worksheet 2'!$R$34=3,"Deliver",IF('Worksheet 2'!$R$34=4,"Will Call"))))</f>
        <v>Install</v>
      </c>
      <c r="J206" s="30"/>
      <c r="L206" s="165" t="s">
        <v>128</v>
      </c>
      <c r="M206" s="150">
        <f t="shared" ref="M206:M214" ca="1" si="15">D206</f>
        <v>0</v>
      </c>
      <c r="N206" s="151" t="s">
        <v>115</v>
      </c>
      <c r="O206" s="152">
        <f ca="1">F206</f>
        <v>0</v>
      </c>
      <c r="P206" s="151" t="s">
        <v>122</v>
      </c>
      <c r="Q206" s="153">
        <f ca="1">H206</f>
        <v>0</v>
      </c>
      <c r="R206" s="29" t="str">
        <f>+IF('Worksheet 2'!$R$34=1,"Install",IF('Worksheet 2'!$R$34=2,"Ship",IF('Worksheet 2'!$R$34=3,"Deliver",IF('Worksheet 2'!$R$34=4,"Will Call"))))</f>
        <v>Install</v>
      </c>
    </row>
    <row r="207" spans="1:18" ht="12.75" customHeight="1">
      <c r="C207" s="164" t="s">
        <v>121</v>
      </c>
      <c r="D207" s="19" t="b">
        <f ca="1">+IF($D215="Left of Pair",((D206+F206)*'Worksheet 2'!AE211)/2,IF($D215="Panel",(D206+F206)*'Worksheet 2'!AE211,IF($H215="SOR",D206*2.5+6,IF($H215="SOR T&amp;B",D206*2.5+6))))</f>
        <v>0</v>
      </c>
      <c r="E207" s="19" t="s">
        <v>122</v>
      </c>
      <c r="F207" s="369">
        <f ca="1">H206+15</f>
        <v>15</v>
      </c>
      <c r="G207" s="448" cm="1">
        <f t="array" aca="1" ref="G207" ca="1">INDIRECT("'Worksheet 2'!$Y"&amp;$B205)</f>
        <v>0</v>
      </c>
      <c r="H207" s="448"/>
      <c r="I207" s="449"/>
      <c r="L207" s="164" t="s">
        <v>121</v>
      </c>
      <c r="M207" t="b">
        <f t="shared" ca="1" si="15"/>
        <v>0</v>
      </c>
      <c r="N207" s="19" t="s">
        <v>122</v>
      </c>
      <c r="O207" s="369">
        <f ca="1">F207</f>
        <v>15</v>
      </c>
      <c r="P207" s="450">
        <f ca="1">G207</f>
        <v>0</v>
      </c>
      <c r="Q207" s="450"/>
      <c r="R207" s="451"/>
    </row>
    <row r="208" spans="1:18" ht="19.5" customHeight="1">
      <c r="C208" s="166"/>
      <c r="D208" s="161" t="b" cm="1">
        <f t="array" aca="1" ref="D208" ca="1">IF($D215="Left of Pair",INDIRECT("'Worksheet 2'!$Q"&amp;$B205)/2,IF($D215="Panel",INDIRECT("'Worksheet 2'!$Q"&amp;$B205)))</f>
        <v>0</v>
      </c>
      <c r="E208" s="42" t="s">
        <v>41</v>
      </c>
      <c r="F208" s="370"/>
      <c r="G208" s="448"/>
      <c r="H208" s="448"/>
      <c r="I208" s="449"/>
      <c r="L208" s="166"/>
      <c r="M208" s="161" t="b">
        <f t="shared" ca="1" si="15"/>
        <v>0</v>
      </c>
      <c r="N208" s="42" t="s">
        <v>41</v>
      </c>
      <c r="O208" s="370"/>
      <c r="P208" s="450"/>
      <c r="Q208" s="452"/>
      <c r="R208" s="453"/>
    </row>
    <row r="209" spans="1:18" ht="15.75">
      <c r="C209" s="164" t="s">
        <v>135</v>
      </c>
      <c r="D209" s="19" t="str">
        <f ca="1">+IF(D213="yes",IF($D215="Left of Pair",($D210*$H213),IF($D215="Panel",$D210*$H213,IF($H215="SOR",$D210*$H213," ")))," ")</f>
        <v xml:space="preserve"> </v>
      </c>
      <c r="E209" s="19" t="s">
        <v>122</v>
      </c>
      <c r="F209" s="369" t="str">
        <f ca="1">IF(D213="YES",H206+12," ")</f>
        <v xml:space="preserve"> </v>
      </c>
      <c r="H209" s="343" t="s">
        <v>10</v>
      </c>
      <c r="I209" s="371" cm="1">
        <f t="array" aca="1" ref="I209" ca="1">INDIRECT("'Worksheet 2'!$Q"&amp;B205)</f>
        <v>0</v>
      </c>
      <c r="L209" s="164" t="s">
        <v>135</v>
      </c>
      <c r="M209" t="str">
        <f t="shared" ca="1" si="15"/>
        <v xml:space="preserve"> </v>
      </c>
      <c r="N209" s="19" t="s">
        <v>122</v>
      </c>
      <c r="O209" s="369" t="str">
        <f ca="1">F209</f>
        <v xml:space="preserve"> </v>
      </c>
      <c r="P209" s="19"/>
      <c r="Q209" s="343" t="s">
        <v>10</v>
      </c>
      <c r="R209" s="160">
        <f ca="1">I209</f>
        <v>0</v>
      </c>
    </row>
    <row r="210" spans="1:18">
      <c r="C210" s="167"/>
      <c r="D210" s="161" t="str" cm="1">
        <f t="array" aca="1" ref="D210" ca="1">IF(D213="yes",IF($D215="Left of Pair",INDIRECT("'Worksheet 2'!$S"&amp;$B205)/2,IF($D215="Panel",INDIRECT("'Worksheet 2'!$S"&amp;$B205)))," ")</f>
        <v xml:space="preserve"> </v>
      </c>
      <c r="E210" s="345" t="s">
        <v>41</v>
      </c>
      <c r="F210" s="372"/>
      <c r="G210" s="20"/>
      <c r="H210" s="343" t="s">
        <v>116</v>
      </c>
      <c r="I210" s="32">
        <f ca="1">IF(D215="Left of Pair",(D206+F206)/2,D206+F206)</f>
        <v>0</v>
      </c>
      <c r="L210" s="167"/>
      <c r="M210" s="344" t="str">
        <f t="shared" ca="1" si="15"/>
        <v xml:space="preserve"> </v>
      </c>
      <c r="N210" s="345" t="s">
        <v>41</v>
      </c>
      <c r="O210" s="372"/>
      <c r="P210" s="20"/>
      <c r="Q210" s="343" t="s">
        <v>116</v>
      </c>
      <c r="R210" s="32">
        <f ca="1">I210</f>
        <v>0</v>
      </c>
    </row>
    <row r="211" spans="1:18" ht="12.75" customHeight="1">
      <c r="C211" s="168" t="s">
        <v>114</v>
      </c>
      <c r="D211" s="373" cm="1">
        <f t="array" aca="1" ref="D211" ca="1">INDIRECT("'Worksheet 2'!$B"&amp;$B205)</f>
        <v>0</v>
      </c>
      <c r="E211" s="22"/>
      <c r="F211" s="23"/>
      <c r="G211" s="22"/>
      <c r="H211" s="24"/>
      <c r="I211" s="445" t="str" cm="1">
        <f t="array" aca="1" ref="I211" ca="1">INDIRECT("'Worksheet 2'!$A"&amp;$B205)</f>
        <v>P2-36</v>
      </c>
      <c r="L211" s="168" t="s">
        <v>114</v>
      </c>
      <c r="M211" s="31">
        <f t="shared" ca="1" si="15"/>
        <v>0</v>
      </c>
      <c r="N211" s="20"/>
      <c r="O211" s="33"/>
      <c r="P211" s="27"/>
      <c r="Q211" s="24"/>
      <c r="R211" s="445" t="str">
        <f ca="1">I211</f>
        <v>P2-36</v>
      </c>
    </row>
    <row r="212" spans="1:18" ht="15.75" customHeight="1">
      <c r="C212" s="164" t="s">
        <v>117</v>
      </c>
      <c r="D212" s="346" cm="1">
        <f t="array" aca="1" ref="D212" ca="1">INDIRECT("'Worksheet 2'!$H"&amp;$B205)</f>
        <v>0</v>
      </c>
      <c r="E212" s="20"/>
      <c r="F212" s="169" t="s">
        <v>118</v>
      </c>
      <c r="G212" s="35"/>
      <c r="H212" s="36" t="str">
        <f>+IF('Worksheet 2'!$R$38=TRUE,"Yes",IF('Worksheet 2'!$R$38=FALSE,"No"))</f>
        <v>Yes</v>
      </c>
      <c r="I212" s="446"/>
      <c r="L212" s="164" t="s">
        <v>117</v>
      </c>
      <c r="M212" s="34">
        <f t="shared" ca="1" si="15"/>
        <v>0</v>
      </c>
      <c r="N212" s="20"/>
      <c r="O212" s="169" t="s">
        <v>118</v>
      </c>
      <c r="P212" s="35"/>
      <c r="Q212" s="36" t="str">
        <f>H212</f>
        <v>Yes</v>
      </c>
      <c r="R212" s="446"/>
    </row>
    <row r="213" spans="1:18" ht="15.75" customHeight="1">
      <c r="C213" s="164" t="s">
        <v>119</v>
      </c>
      <c r="D213" s="37" t="str">
        <f ca="1">IF($E213&gt;0,"YES"," ")</f>
        <v xml:space="preserve"> </v>
      </c>
      <c r="E213" s="347" cm="1">
        <f t="array" aca="1" ref="E213" ca="1">INDIRECT("'Worksheet 2'!$X"&amp;$B205)</f>
        <v>0</v>
      </c>
      <c r="F213" s="39"/>
      <c r="G213" s="20"/>
      <c r="H213" s="347" t="str" cm="1">
        <f t="array" aca="1" ref="H213" ca="1">INDIRECT("'Worksheet 2'!$R"&amp;$B205)</f>
        <v xml:space="preserve"> </v>
      </c>
      <c r="I213" s="446"/>
      <c r="J213" s="40"/>
      <c r="L213" s="164" t="s">
        <v>119</v>
      </c>
      <c r="M213" s="37" t="str">
        <f t="shared" ca="1" si="15"/>
        <v xml:space="preserve"> </v>
      </c>
      <c r="N213" s="38">
        <f ca="1">E213</f>
        <v>0</v>
      </c>
      <c r="O213" s="39"/>
      <c r="P213" s="20"/>
      <c r="Q213" s="159" t="str">
        <f ca="1">H213</f>
        <v xml:space="preserve"> </v>
      </c>
      <c r="R213" s="446"/>
    </row>
    <row r="214" spans="1:18" ht="15.75" customHeight="1">
      <c r="C214" s="164" t="s">
        <v>13</v>
      </c>
      <c r="D214" s="347" cm="1">
        <f t="array" aca="1" ref="D214" ca="1">INDIRECT("'Worksheet 2'!$W"&amp;$B205)</f>
        <v>0</v>
      </c>
      <c r="E214" s="22"/>
      <c r="F214" s="23"/>
      <c r="G214" s="22"/>
      <c r="H214" s="347" t="str" cm="1">
        <f t="array" aca="1" ref="H214" ca="1">INDIRECT("'Worksheet 2'!$P"&amp;$B205)</f>
        <v xml:space="preserve"> </v>
      </c>
      <c r="I214" s="447"/>
      <c r="L214" s="164" t="s">
        <v>13</v>
      </c>
      <c r="M214" s="21">
        <f t="shared" ca="1" si="15"/>
        <v>0</v>
      </c>
      <c r="N214" s="22"/>
      <c r="O214" s="23"/>
      <c r="P214" s="22"/>
      <c r="Q214" s="159" t="str">
        <f ca="1">H214</f>
        <v xml:space="preserve"> </v>
      </c>
      <c r="R214" s="447"/>
    </row>
    <row r="215" spans="1:18" ht="23.25">
      <c r="C215" s="348" cm="1">
        <f t="array" aca="1" ref="C215" ca="1">INDIRECT("'Worksheet 2'!$J"&amp;$B205)</f>
        <v>0</v>
      </c>
      <c r="D215" s="444" t="b" cm="1">
        <f t="array" aca="1" ref="D215" ca="1">IF(INDIRECT("'Worksheet 2'!$D"&amp;$B205)=1, "Left of Pair", IF(INDIRECT("'Worksheet 2'!$E"&amp;$B205)=1, "Panel"))</f>
        <v>0</v>
      </c>
      <c r="E215" s="444"/>
      <c r="F215" s="444"/>
      <c r="G215" s="374"/>
      <c r="H215" s="374" t="str" cm="1">
        <f t="array" aca="1" ref="H215" ca="1">IF(INDIRECT("'Worksheet 2'!$F"&amp;$B205)="st","SOR T&amp;B"," ")</f>
        <v xml:space="preserve"> </v>
      </c>
      <c r="I215" s="415">
        <f>IF(Worksheet!$D$46&gt;0,Worksheet!$D$46," ")</f>
        <v>30</v>
      </c>
      <c r="L215" s="41">
        <f ca="1">$C215</f>
        <v>0</v>
      </c>
      <c r="M215" s="444" t="b" cm="1">
        <f t="array" aca="1" ref="M215" ca="1">IF(INDIRECT("'Worksheet 2'!$D"&amp;$B205)=1, "Right of Pair", IF(INDIRECT("'Worksheet 2'!$E"&amp;$B205)=1, "Do Not Use"))</f>
        <v>0</v>
      </c>
      <c r="N215" s="444"/>
      <c r="O215" s="444"/>
      <c r="P215" s="374"/>
      <c r="Q215" s="374"/>
      <c r="R215" s="415">
        <f>IF(Worksheet!$D$46&gt;0,Worksheet!$D$46," ")</f>
        <v>30</v>
      </c>
    </row>
    <row r="217" spans="1:18" ht="19.5">
      <c r="A217" t="s">
        <v>45</v>
      </c>
      <c r="B217">
        <v>27</v>
      </c>
      <c r="C217" s="164" t="s">
        <v>113</v>
      </c>
      <c r="D217" s="21" t="str">
        <f>+'Worksheet 2'!$W$4</f>
        <v>Windcrest WO#J5121027-00234.01</v>
      </c>
      <c r="E217" s="22"/>
      <c r="F217" s="23"/>
      <c r="G217" s="22"/>
      <c r="H217" s="24"/>
      <c r="I217" s="25">
        <f>+'Worksheet 2'!$AR$1</f>
        <v>0</v>
      </c>
      <c r="J217" s="26"/>
      <c r="L217" s="164" t="s">
        <v>113</v>
      </c>
      <c r="M217" s="21" t="str">
        <f>+'Worksheet 2'!$W$4</f>
        <v>Windcrest WO#J5121027-00234.01</v>
      </c>
      <c r="N217" s="22"/>
      <c r="O217" s="23"/>
      <c r="P217" s="22"/>
      <c r="Q217" s="24"/>
      <c r="R217" s="25">
        <f>+'Worksheet 2'!$AR$1</f>
        <v>0</v>
      </c>
    </row>
    <row r="218" spans="1:18" ht="32.25">
      <c r="C218" s="165" t="s">
        <v>128</v>
      </c>
      <c r="D218" s="150" cm="1">
        <f t="array" aca="1" ref="D218" ca="1">INDIRECT("'Worksheet 2'!$K"&amp;$B217)</f>
        <v>0</v>
      </c>
      <c r="E218" s="151" t="s">
        <v>115</v>
      </c>
      <c r="F218" s="150" cm="1">
        <f t="array" aca="1" ref="F218" ca="1">INDIRECT("'Worksheet 2'!$M"&amp;$B217)</f>
        <v>0</v>
      </c>
      <c r="G218" s="151" t="s">
        <v>122</v>
      </c>
      <c r="H218" s="150" cm="1">
        <f t="array" aca="1" ref="H218" ca="1">INDIRECT("'Worksheet 2'!$O"&amp;$B217)</f>
        <v>0</v>
      </c>
      <c r="I218" s="29" t="str">
        <f>+IF('Worksheet 2'!$R$34=1,"Install",IF('Worksheet 2'!$R$34=2,"Ship",IF('Worksheet 2'!$R$34=3,"Deliver",IF('Worksheet 2'!$R$34=4,"Will Call"))))</f>
        <v>Install</v>
      </c>
      <c r="J218" s="30"/>
      <c r="L218" s="165" t="s">
        <v>128</v>
      </c>
      <c r="M218" s="150">
        <f t="shared" ref="M218:M226" ca="1" si="16">D218</f>
        <v>0</v>
      </c>
      <c r="N218" s="151" t="s">
        <v>115</v>
      </c>
      <c r="O218" s="152">
        <f ca="1">F218</f>
        <v>0</v>
      </c>
      <c r="P218" s="151" t="s">
        <v>122</v>
      </c>
      <c r="Q218" s="153">
        <f ca="1">H218</f>
        <v>0</v>
      </c>
      <c r="R218" s="29" t="str">
        <f>+IF('Worksheet 2'!$R$34=1,"Install",IF('Worksheet 2'!$R$34=2,"Ship",IF('Worksheet 2'!$R$34=3,"Deliver",IF('Worksheet 2'!$R$34=4,"Will Call"))))</f>
        <v>Install</v>
      </c>
    </row>
    <row r="219" spans="1:18" ht="12.75" customHeight="1">
      <c r="C219" s="164" t="s">
        <v>121</v>
      </c>
      <c r="D219" s="19" t="b">
        <f ca="1">+IF($D227="Left of Pair",((D218+F218)*'Worksheet 2'!AE223)/2,IF($D227="Panel",(D218+F218)*'Worksheet 2'!AE223,IF($H227="SOR",D218*2.5+6,IF($H227="SOR T&amp;B",D218*2.5+6))))</f>
        <v>0</v>
      </c>
      <c r="E219" s="19" t="s">
        <v>122</v>
      </c>
      <c r="F219" s="369">
        <f ca="1">H218+15</f>
        <v>15</v>
      </c>
      <c r="G219" s="448" cm="1">
        <f t="array" aca="1" ref="G219" ca="1">INDIRECT("'Worksheet 2'!$Y"&amp;$B217)</f>
        <v>0</v>
      </c>
      <c r="H219" s="448"/>
      <c r="I219" s="449"/>
      <c r="L219" s="164" t="s">
        <v>121</v>
      </c>
      <c r="M219" t="b">
        <f t="shared" ca="1" si="16"/>
        <v>0</v>
      </c>
      <c r="N219" s="19" t="s">
        <v>122</v>
      </c>
      <c r="O219" s="369">
        <f ca="1">F219</f>
        <v>15</v>
      </c>
      <c r="P219" s="450">
        <f ca="1">G219</f>
        <v>0</v>
      </c>
      <c r="Q219" s="450"/>
      <c r="R219" s="451"/>
    </row>
    <row r="220" spans="1:18" ht="19.5" customHeight="1">
      <c r="C220" s="166"/>
      <c r="D220" s="161" t="b" cm="1">
        <f t="array" aca="1" ref="D220" ca="1">IF($D227="Left of Pair",INDIRECT("'Worksheet 2'!$Q"&amp;$B217)/2,IF($D227="Panel",INDIRECT("'Worksheet 2'!$Q"&amp;$B217)))</f>
        <v>0</v>
      </c>
      <c r="E220" s="42" t="s">
        <v>41</v>
      </c>
      <c r="F220" s="370"/>
      <c r="G220" s="448"/>
      <c r="H220" s="448"/>
      <c r="I220" s="449"/>
      <c r="L220" s="166"/>
      <c r="M220" s="161" t="b">
        <f t="shared" ca="1" si="16"/>
        <v>0</v>
      </c>
      <c r="N220" s="42" t="s">
        <v>41</v>
      </c>
      <c r="O220" s="370"/>
      <c r="P220" s="450"/>
      <c r="Q220" s="452"/>
      <c r="R220" s="453"/>
    </row>
    <row r="221" spans="1:18" ht="15.75">
      <c r="C221" s="164" t="s">
        <v>135</v>
      </c>
      <c r="D221" s="19" t="str">
        <f ca="1">+IF(D225="yes",IF($D227="Left of Pair",($D222*$H225),IF($D227="Panel",$D222*$H225,IF($H227="SOR",$D222*$H225," ")))," ")</f>
        <v xml:space="preserve"> </v>
      </c>
      <c r="E221" s="19" t="s">
        <v>122</v>
      </c>
      <c r="F221" s="369" t="str">
        <f ca="1">IF(D225="YES",H218+12," ")</f>
        <v xml:space="preserve"> </v>
      </c>
      <c r="H221" s="343" t="s">
        <v>10</v>
      </c>
      <c r="I221" s="371" cm="1">
        <f t="array" aca="1" ref="I221" ca="1">INDIRECT("'Worksheet 2'!$Q"&amp;B217)</f>
        <v>0</v>
      </c>
      <c r="L221" s="164" t="s">
        <v>135</v>
      </c>
      <c r="M221" t="str">
        <f t="shared" ca="1" si="16"/>
        <v xml:space="preserve"> </v>
      </c>
      <c r="N221" s="19" t="s">
        <v>122</v>
      </c>
      <c r="O221" s="369" t="str">
        <f ca="1">F221</f>
        <v xml:space="preserve"> </v>
      </c>
      <c r="P221" s="19"/>
      <c r="Q221" s="343" t="s">
        <v>10</v>
      </c>
      <c r="R221" s="160">
        <f ca="1">I221</f>
        <v>0</v>
      </c>
    </row>
    <row r="222" spans="1:18">
      <c r="C222" s="167"/>
      <c r="D222" s="161" t="str" cm="1">
        <f t="array" aca="1" ref="D222" ca="1">IF(D225="yes",IF($D227="Left of Pair",INDIRECT("'Worksheet 2'!$S"&amp;$B217)/2,IF($D227="Panel",INDIRECT("'Worksheet 2'!$S"&amp;$B217)))," ")</f>
        <v xml:space="preserve"> </v>
      </c>
      <c r="E222" s="345" t="s">
        <v>41</v>
      </c>
      <c r="F222" s="372"/>
      <c r="G222" s="20"/>
      <c r="H222" s="343" t="s">
        <v>116</v>
      </c>
      <c r="I222" s="32">
        <f ca="1">IF(D227="Left of Pair",(D218+F218)/2,D218+F218)</f>
        <v>0</v>
      </c>
      <c r="L222" s="167"/>
      <c r="M222" s="344" t="str">
        <f t="shared" ca="1" si="16"/>
        <v xml:space="preserve"> </v>
      </c>
      <c r="N222" s="345" t="s">
        <v>41</v>
      </c>
      <c r="O222" s="372"/>
      <c r="P222" s="20"/>
      <c r="Q222" s="343" t="s">
        <v>116</v>
      </c>
      <c r="R222" s="32">
        <f ca="1">I222</f>
        <v>0</v>
      </c>
    </row>
    <row r="223" spans="1:18" ht="12.75" customHeight="1">
      <c r="C223" s="168" t="s">
        <v>114</v>
      </c>
      <c r="D223" s="373" cm="1">
        <f t="array" aca="1" ref="D223" ca="1">INDIRECT("'Worksheet 2'!$B"&amp;$B217)</f>
        <v>0</v>
      </c>
      <c r="E223" s="22"/>
      <c r="F223" s="23"/>
      <c r="G223" s="22"/>
      <c r="H223" s="24"/>
      <c r="I223" s="445" t="str" cm="1">
        <f t="array" aca="1" ref="I223" ca="1">INDIRECT("'Worksheet 2'!$A"&amp;$B217)</f>
        <v>P2-37</v>
      </c>
      <c r="L223" s="168" t="s">
        <v>114</v>
      </c>
      <c r="M223" s="31">
        <f t="shared" ca="1" si="16"/>
        <v>0</v>
      </c>
      <c r="N223" s="20"/>
      <c r="O223" s="33"/>
      <c r="P223" s="27"/>
      <c r="Q223" s="24"/>
      <c r="R223" s="445" t="str">
        <f ca="1">I223</f>
        <v>P2-37</v>
      </c>
    </row>
    <row r="224" spans="1:18" ht="15.75" customHeight="1">
      <c r="C224" s="164" t="s">
        <v>117</v>
      </c>
      <c r="D224" s="346" cm="1">
        <f t="array" aca="1" ref="D224" ca="1">INDIRECT("'Worksheet 2'!$H"&amp;$B217)</f>
        <v>0</v>
      </c>
      <c r="E224" s="20"/>
      <c r="F224" s="169" t="s">
        <v>118</v>
      </c>
      <c r="G224" s="35"/>
      <c r="H224" s="36" t="str">
        <f>+IF('Worksheet 2'!$R$38=TRUE,"Yes",IF('Worksheet 2'!$R$38=FALSE,"No"))</f>
        <v>Yes</v>
      </c>
      <c r="I224" s="446"/>
      <c r="L224" s="164" t="s">
        <v>117</v>
      </c>
      <c r="M224" s="34">
        <f t="shared" ca="1" si="16"/>
        <v>0</v>
      </c>
      <c r="N224" s="20"/>
      <c r="O224" s="169" t="s">
        <v>118</v>
      </c>
      <c r="P224" s="35"/>
      <c r="Q224" s="36" t="str">
        <f>H224</f>
        <v>Yes</v>
      </c>
      <c r="R224" s="446"/>
    </row>
    <row r="225" spans="1:18" ht="15.75" customHeight="1">
      <c r="C225" s="164" t="s">
        <v>119</v>
      </c>
      <c r="D225" s="37" t="str">
        <f ca="1">IF($E225&gt;0,"YES"," ")</f>
        <v xml:space="preserve"> </v>
      </c>
      <c r="E225" s="347" cm="1">
        <f t="array" aca="1" ref="E225" ca="1">INDIRECT("'Worksheet 2'!$X"&amp;$B217)</f>
        <v>0</v>
      </c>
      <c r="F225" s="39"/>
      <c r="G225" s="20"/>
      <c r="H225" s="347" t="str" cm="1">
        <f t="array" aca="1" ref="H225" ca="1">INDIRECT("'Worksheet 2'!$R"&amp;$B217)</f>
        <v xml:space="preserve"> </v>
      </c>
      <c r="I225" s="446"/>
      <c r="J225" s="40"/>
      <c r="L225" s="164" t="s">
        <v>119</v>
      </c>
      <c r="M225" s="37" t="str">
        <f t="shared" ca="1" si="16"/>
        <v xml:space="preserve"> </v>
      </c>
      <c r="N225" s="38">
        <f ca="1">E225</f>
        <v>0</v>
      </c>
      <c r="O225" s="39"/>
      <c r="P225" s="20"/>
      <c r="Q225" s="159" t="str">
        <f ca="1">H225</f>
        <v xml:space="preserve"> </v>
      </c>
      <c r="R225" s="446"/>
    </row>
    <row r="226" spans="1:18" ht="15.75" customHeight="1">
      <c r="C226" s="164" t="s">
        <v>13</v>
      </c>
      <c r="D226" s="347" cm="1">
        <f t="array" aca="1" ref="D226" ca="1">INDIRECT("'Worksheet 2'!$W"&amp;$B217)</f>
        <v>0</v>
      </c>
      <c r="E226" s="22"/>
      <c r="F226" s="23"/>
      <c r="G226" s="22"/>
      <c r="H226" s="347" t="str" cm="1">
        <f t="array" aca="1" ref="H226" ca="1">INDIRECT("'Worksheet 2'!$P"&amp;$B217)</f>
        <v xml:space="preserve"> </v>
      </c>
      <c r="I226" s="447"/>
      <c r="L226" s="164" t="s">
        <v>13</v>
      </c>
      <c r="M226" s="21">
        <f t="shared" ca="1" si="16"/>
        <v>0</v>
      </c>
      <c r="N226" s="22"/>
      <c r="O226" s="23"/>
      <c r="P226" s="22"/>
      <c r="Q226" s="159" t="str">
        <f ca="1">H226</f>
        <v xml:space="preserve"> </v>
      </c>
      <c r="R226" s="447"/>
    </row>
    <row r="227" spans="1:18" ht="23.25">
      <c r="C227" s="348" cm="1">
        <f t="array" aca="1" ref="C227" ca="1">INDIRECT("'Worksheet 2'!$J"&amp;$B217)</f>
        <v>0</v>
      </c>
      <c r="D227" s="444" t="b" cm="1">
        <f t="array" aca="1" ref="D227" ca="1">IF(INDIRECT("'Worksheet 2'!$D"&amp;$B217)=1, "Left of Pair", IF(INDIRECT("'Worksheet 2'!$E"&amp;$B217)=1, "Panel"))</f>
        <v>0</v>
      </c>
      <c r="E227" s="444"/>
      <c r="F227" s="444"/>
      <c r="G227" s="374"/>
      <c r="H227" s="374" t="str" cm="1">
        <f t="array" aca="1" ref="H227" ca="1">IF(INDIRECT("'Worksheet 2'!$F"&amp;$B217)="st","SOR T&amp;B"," ")</f>
        <v xml:space="preserve"> </v>
      </c>
      <c r="I227" s="415">
        <f>IF(Worksheet!$D$46&gt;0,Worksheet!$D$46," ")</f>
        <v>30</v>
      </c>
      <c r="L227" s="41">
        <f ca="1">$C227</f>
        <v>0</v>
      </c>
      <c r="M227" s="444" t="b" cm="1">
        <f t="array" aca="1" ref="M227" ca="1">IF(INDIRECT("'Worksheet 2'!$D"&amp;$B217)=1, "Right of Pair", IF(INDIRECT("'Worksheet 2'!$E"&amp;$B217)=1, "Do Not Use"))</f>
        <v>0</v>
      </c>
      <c r="N227" s="444"/>
      <c r="O227" s="444"/>
      <c r="P227" s="374"/>
      <c r="Q227" s="374"/>
      <c r="R227" s="415">
        <f>IF(Worksheet!$D$46&gt;0,Worksheet!$D$46," ")</f>
        <v>30</v>
      </c>
    </row>
    <row r="229" spans="1:18">
      <c r="O229" s="18" t="s">
        <v>107</v>
      </c>
    </row>
    <row r="230" spans="1:18" ht="30" customHeight="1"/>
    <row r="231" spans="1:18" ht="19.5">
      <c r="A231" t="s">
        <v>46</v>
      </c>
      <c r="B231">
        <v>28</v>
      </c>
      <c r="C231" s="164" t="s">
        <v>113</v>
      </c>
      <c r="D231" s="21" t="str">
        <f>+'Worksheet 2'!$W$4</f>
        <v>Windcrest WO#J5121027-00234.01</v>
      </c>
      <c r="E231" s="22"/>
      <c r="F231" s="23"/>
      <c r="G231" s="22"/>
      <c r="H231" s="24"/>
      <c r="I231" s="25">
        <f>+'Worksheet 2'!$AR$1</f>
        <v>0</v>
      </c>
      <c r="J231" s="26"/>
      <c r="L231" s="164" t="s">
        <v>113</v>
      </c>
      <c r="M231" s="21" t="str">
        <f>+'Worksheet 2'!$W$4</f>
        <v>Windcrest WO#J5121027-00234.01</v>
      </c>
      <c r="N231" s="22"/>
      <c r="O231" s="23"/>
      <c r="P231" s="22"/>
      <c r="Q231" s="24"/>
      <c r="R231" s="25">
        <f>+'Worksheet 2'!$AR$1</f>
        <v>0</v>
      </c>
    </row>
    <row r="232" spans="1:18" ht="32.25">
      <c r="C232" s="165" t="s">
        <v>128</v>
      </c>
      <c r="D232" s="150" cm="1">
        <f t="array" aca="1" ref="D232" ca="1">INDIRECT("'Worksheet 2'!$K"&amp;$B231)</f>
        <v>0</v>
      </c>
      <c r="E232" s="151" t="s">
        <v>115</v>
      </c>
      <c r="F232" s="150" cm="1">
        <f t="array" aca="1" ref="F232" ca="1">INDIRECT("'Worksheet 2'!$M"&amp;$B231)</f>
        <v>0</v>
      </c>
      <c r="G232" s="151" t="s">
        <v>122</v>
      </c>
      <c r="H232" s="150" cm="1">
        <f t="array" aca="1" ref="H232" ca="1">INDIRECT("'Worksheet 2'!$O"&amp;$B231)</f>
        <v>0</v>
      </c>
      <c r="I232" s="29" t="str">
        <f>+IF('Worksheet 2'!$R$34=1,"Install",IF('Worksheet 2'!$R$34=2,"Ship",IF('Worksheet 2'!$R$34=3,"Deliver",IF('Worksheet 2'!$R$34=4,"Will Call"))))</f>
        <v>Install</v>
      </c>
      <c r="J232" s="30"/>
      <c r="L232" s="165" t="s">
        <v>128</v>
      </c>
      <c r="M232" s="150">
        <f t="shared" ref="M232:M240" ca="1" si="17">D232</f>
        <v>0</v>
      </c>
      <c r="N232" s="151" t="s">
        <v>115</v>
      </c>
      <c r="O232" s="152">
        <f ca="1">F232</f>
        <v>0</v>
      </c>
      <c r="P232" s="151" t="s">
        <v>122</v>
      </c>
      <c r="Q232" s="153">
        <f ca="1">H232</f>
        <v>0</v>
      </c>
      <c r="R232" s="29" t="str">
        <f>+IF('Worksheet 2'!$R$34=1,"Install",IF('Worksheet 2'!$R$34=2,"Ship",IF('Worksheet 2'!$R$34=3,"Deliver",IF('Worksheet 2'!$R$34=4,"Will Call"))))</f>
        <v>Install</v>
      </c>
    </row>
    <row r="233" spans="1:18" ht="12.75" customHeight="1">
      <c r="C233" s="164" t="s">
        <v>121</v>
      </c>
      <c r="D233" s="19" t="b">
        <f ca="1">+IF($D241="Left of Pair",((D232+F232)*'Worksheet 2'!AE237)/2,IF($D241="Panel",(D232+F232)*'Worksheet 2'!AE237,IF($H241="SOR",D232*2.5+6,IF($H241="SOR T&amp;B",D232*2.5+6))))</f>
        <v>0</v>
      </c>
      <c r="E233" s="19" t="s">
        <v>122</v>
      </c>
      <c r="F233" s="369">
        <f ca="1">H232+15</f>
        <v>15</v>
      </c>
      <c r="G233" s="448" cm="1">
        <f t="array" aca="1" ref="G233" ca="1">INDIRECT("'Worksheet 2'!$Y"&amp;$B231)</f>
        <v>0</v>
      </c>
      <c r="H233" s="448"/>
      <c r="I233" s="449"/>
      <c r="L233" s="164" t="s">
        <v>121</v>
      </c>
      <c r="M233" t="b">
        <f t="shared" ca="1" si="17"/>
        <v>0</v>
      </c>
      <c r="N233" s="19" t="s">
        <v>122</v>
      </c>
      <c r="O233" s="369">
        <f ca="1">F233</f>
        <v>15</v>
      </c>
      <c r="P233" s="450">
        <f ca="1">G233</f>
        <v>0</v>
      </c>
      <c r="Q233" s="450"/>
      <c r="R233" s="451"/>
    </row>
    <row r="234" spans="1:18" ht="19.5" customHeight="1">
      <c r="C234" s="166"/>
      <c r="D234" s="161" t="b" cm="1">
        <f t="array" aca="1" ref="D234" ca="1">IF($D241="Left of Pair",INDIRECT("'Worksheet 2'!$Q"&amp;$B231)/2,IF($D241="Panel",INDIRECT("'Worksheet 2'!$Q"&amp;$B231)))</f>
        <v>0</v>
      </c>
      <c r="E234" s="42" t="s">
        <v>41</v>
      </c>
      <c r="F234" s="370"/>
      <c r="G234" s="448"/>
      <c r="H234" s="448"/>
      <c r="I234" s="449"/>
      <c r="L234" s="166"/>
      <c r="M234" s="161" t="b">
        <f t="shared" ca="1" si="17"/>
        <v>0</v>
      </c>
      <c r="N234" s="42" t="s">
        <v>41</v>
      </c>
      <c r="O234" s="370"/>
      <c r="P234" s="450"/>
      <c r="Q234" s="452"/>
      <c r="R234" s="453"/>
    </row>
    <row r="235" spans="1:18" ht="15.75">
      <c r="C235" s="164" t="s">
        <v>135</v>
      </c>
      <c r="D235" s="19" t="str">
        <f ca="1">+IF(D239="yes",IF($D241="Left of Pair",($D236*$H239),IF($D241="Panel",$D236*$H239,IF($H241="SOR",$D236*$H239," ")))," ")</f>
        <v xml:space="preserve"> </v>
      </c>
      <c r="E235" s="19" t="s">
        <v>122</v>
      </c>
      <c r="F235" s="369" t="str">
        <f ca="1">IF(D239="YES",H232+12," ")</f>
        <v xml:space="preserve"> </v>
      </c>
      <c r="H235" s="343" t="s">
        <v>10</v>
      </c>
      <c r="I235" s="371" cm="1">
        <f t="array" aca="1" ref="I235" ca="1">INDIRECT("'Worksheet 2'!$Q"&amp;B231)</f>
        <v>0</v>
      </c>
      <c r="L235" s="164" t="s">
        <v>135</v>
      </c>
      <c r="M235" t="str">
        <f t="shared" ca="1" si="17"/>
        <v xml:space="preserve"> </v>
      </c>
      <c r="N235" s="19" t="s">
        <v>122</v>
      </c>
      <c r="O235" s="369" t="str">
        <f ca="1">F235</f>
        <v xml:space="preserve"> </v>
      </c>
      <c r="P235" s="19"/>
      <c r="Q235" s="343" t="s">
        <v>10</v>
      </c>
      <c r="R235" s="160">
        <f ca="1">I235</f>
        <v>0</v>
      </c>
    </row>
    <row r="236" spans="1:18">
      <c r="C236" s="167"/>
      <c r="D236" s="161" t="str" cm="1">
        <f t="array" aca="1" ref="D236" ca="1">IF(D239="yes",IF($D241="Left of Pair",INDIRECT("'Worksheet 2'!$S"&amp;$B231)/2,IF($D241="Panel",INDIRECT("'Worksheet 2'!$S"&amp;$B231)))," ")</f>
        <v xml:space="preserve"> </v>
      </c>
      <c r="E236" s="345" t="s">
        <v>41</v>
      </c>
      <c r="F236" s="372"/>
      <c r="G236" s="20"/>
      <c r="H236" s="343" t="s">
        <v>116</v>
      </c>
      <c r="I236" s="32">
        <f ca="1">IF(D241="Left of Pair",(D232+F232)/2,D232+F232)</f>
        <v>0</v>
      </c>
      <c r="L236" s="167"/>
      <c r="M236" s="344" t="str">
        <f t="shared" ca="1" si="17"/>
        <v xml:space="preserve"> </v>
      </c>
      <c r="N236" s="345" t="s">
        <v>41</v>
      </c>
      <c r="O236" s="372"/>
      <c r="P236" s="20"/>
      <c r="Q236" s="343" t="s">
        <v>116</v>
      </c>
      <c r="R236" s="32">
        <f ca="1">I236</f>
        <v>0</v>
      </c>
    </row>
    <row r="237" spans="1:18" ht="12.75" customHeight="1">
      <c r="C237" s="168" t="s">
        <v>114</v>
      </c>
      <c r="D237" s="373" cm="1">
        <f t="array" aca="1" ref="D237" ca="1">INDIRECT("'Worksheet 2'!$B"&amp;$B231)</f>
        <v>0</v>
      </c>
      <c r="E237" s="22"/>
      <c r="F237" s="23"/>
      <c r="G237" s="22"/>
      <c r="H237" s="24"/>
      <c r="I237" s="445" t="str" cm="1">
        <f t="array" aca="1" ref="I237" ca="1">INDIRECT("'Worksheet 2'!$A"&amp;$B231)</f>
        <v>P2-38</v>
      </c>
      <c r="L237" s="168" t="s">
        <v>114</v>
      </c>
      <c r="M237" s="31">
        <f t="shared" ca="1" si="17"/>
        <v>0</v>
      </c>
      <c r="N237" s="20"/>
      <c r="O237" s="33"/>
      <c r="P237" s="27"/>
      <c r="Q237" s="24"/>
      <c r="R237" s="445" t="str">
        <f ca="1">I237</f>
        <v>P2-38</v>
      </c>
    </row>
    <row r="238" spans="1:18" ht="15.75" customHeight="1">
      <c r="C238" s="164" t="s">
        <v>117</v>
      </c>
      <c r="D238" s="346" cm="1">
        <f t="array" aca="1" ref="D238" ca="1">INDIRECT("'Worksheet 2'!$H"&amp;$B231)</f>
        <v>0</v>
      </c>
      <c r="E238" s="20"/>
      <c r="F238" s="169" t="s">
        <v>118</v>
      </c>
      <c r="G238" s="35"/>
      <c r="H238" s="36" t="str">
        <f>+IF('Worksheet 2'!$R$38=TRUE,"Yes",IF('Worksheet 2'!$R$38=FALSE,"No"))</f>
        <v>Yes</v>
      </c>
      <c r="I238" s="446"/>
      <c r="L238" s="164" t="s">
        <v>117</v>
      </c>
      <c r="M238" s="34">
        <f t="shared" ca="1" si="17"/>
        <v>0</v>
      </c>
      <c r="N238" s="20"/>
      <c r="O238" s="169" t="s">
        <v>118</v>
      </c>
      <c r="P238" s="35"/>
      <c r="Q238" s="36" t="str">
        <f>H238</f>
        <v>Yes</v>
      </c>
      <c r="R238" s="446"/>
    </row>
    <row r="239" spans="1:18" ht="15.75" customHeight="1">
      <c r="C239" s="164" t="s">
        <v>119</v>
      </c>
      <c r="D239" s="37" t="str">
        <f ca="1">IF($E239&gt;0,"YES"," ")</f>
        <v xml:space="preserve"> </v>
      </c>
      <c r="E239" s="347" cm="1">
        <f t="array" aca="1" ref="E239" ca="1">INDIRECT("'Worksheet 2'!$X"&amp;$B231)</f>
        <v>0</v>
      </c>
      <c r="F239" s="39"/>
      <c r="G239" s="20"/>
      <c r="H239" s="347" t="str" cm="1">
        <f t="array" aca="1" ref="H239" ca="1">INDIRECT("'Worksheet 2'!$R"&amp;$B231)</f>
        <v xml:space="preserve"> </v>
      </c>
      <c r="I239" s="446"/>
      <c r="J239" s="40"/>
      <c r="L239" s="164" t="s">
        <v>119</v>
      </c>
      <c r="M239" s="37" t="str">
        <f t="shared" ca="1" si="17"/>
        <v xml:space="preserve"> </v>
      </c>
      <c r="N239" s="38">
        <f ca="1">E239</f>
        <v>0</v>
      </c>
      <c r="O239" s="39"/>
      <c r="P239" s="20"/>
      <c r="Q239" s="159" t="str">
        <f ca="1">H239</f>
        <v xml:space="preserve"> </v>
      </c>
      <c r="R239" s="446"/>
    </row>
    <row r="240" spans="1:18" ht="15.75" customHeight="1">
      <c r="C240" s="164" t="s">
        <v>13</v>
      </c>
      <c r="D240" s="347" cm="1">
        <f t="array" aca="1" ref="D240" ca="1">INDIRECT("'Worksheet 2'!$W"&amp;$B231)</f>
        <v>0</v>
      </c>
      <c r="E240" s="22"/>
      <c r="F240" s="23"/>
      <c r="G240" s="22"/>
      <c r="H240" s="347" t="str" cm="1">
        <f t="array" aca="1" ref="H240" ca="1">INDIRECT("'Worksheet 2'!$P"&amp;$B231)</f>
        <v xml:space="preserve"> </v>
      </c>
      <c r="I240" s="447"/>
      <c r="L240" s="164" t="s">
        <v>13</v>
      </c>
      <c r="M240" s="21">
        <f t="shared" ca="1" si="17"/>
        <v>0</v>
      </c>
      <c r="N240" s="22"/>
      <c r="O240" s="23"/>
      <c r="P240" s="22"/>
      <c r="Q240" s="159" t="str">
        <f ca="1">H240</f>
        <v xml:space="preserve"> </v>
      </c>
      <c r="R240" s="447"/>
    </row>
    <row r="241" spans="1:18" ht="23.25">
      <c r="C241" s="348" cm="1">
        <f t="array" aca="1" ref="C241" ca="1">INDIRECT("'Worksheet 2'!$J"&amp;$B231)</f>
        <v>0</v>
      </c>
      <c r="D241" s="444" t="b" cm="1">
        <f t="array" aca="1" ref="D241" ca="1">IF(INDIRECT("'Worksheet 2'!$D"&amp;$B231)=1, "Left of Pair", IF(INDIRECT("'Worksheet 2'!$E"&amp;$B231)=1, "Panel"))</f>
        <v>0</v>
      </c>
      <c r="E241" s="444"/>
      <c r="F241" s="444"/>
      <c r="G241" s="374"/>
      <c r="H241" s="374" t="str" cm="1">
        <f t="array" aca="1" ref="H241" ca="1">IF(INDIRECT("'Worksheet 2'!$F"&amp;$B231)="st","SOR T&amp;B"," ")</f>
        <v xml:space="preserve"> </v>
      </c>
      <c r="I241" s="415">
        <f>IF(Worksheet!$D$46&gt;0,Worksheet!$D$46," ")</f>
        <v>30</v>
      </c>
      <c r="L241" s="41">
        <f ca="1">$C241</f>
        <v>0</v>
      </c>
      <c r="M241" s="444" t="b" cm="1">
        <f t="array" aca="1" ref="M241" ca="1">IF(INDIRECT("'Worksheet 2'!$D"&amp;$B231)=1, "Right of Pair", IF(INDIRECT("'Worksheet 2'!$E"&amp;$B231)=1, "Do Not Use"))</f>
        <v>0</v>
      </c>
      <c r="N241" s="444"/>
      <c r="O241" s="444"/>
      <c r="P241" s="374"/>
      <c r="Q241" s="374"/>
      <c r="R241" s="415">
        <f>IF(Worksheet!$D$46&gt;0,Worksheet!$D$46," ")</f>
        <v>30</v>
      </c>
    </row>
    <row r="243" spans="1:18" ht="30" customHeight="1"/>
    <row r="245" spans="1:18" ht="19.5">
      <c r="A245" t="s">
        <v>47</v>
      </c>
      <c r="B245">
        <v>29</v>
      </c>
      <c r="C245" s="164" t="s">
        <v>113</v>
      </c>
      <c r="D245" s="21" t="str">
        <f>+'Worksheet 2'!$W$4</f>
        <v>Windcrest WO#J5121027-00234.01</v>
      </c>
      <c r="E245" s="22"/>
      <c r="F245" s="23"/>
      <c r="G245" s="22"/>
      <c r="H245" s="24"/>
      <c r="I245" s="25">
        <f>+'Worksheet 2'!$AR$1</f>
        <v>0</v>
      </c>
      <c r="J245" s="26"/>
      <c r="L245" s="164" t="s">
        <v>113</v>
      </c>
      <c r="M245" s="21" t="str">
        <f>+'Worksheet 2'!$W$4</f>
        <v>Windcrest WO#J5121027-00234.01</v>
      </c>
      <c r="N245" s="22"/>
      <c r="O245" s="23"/>
      <c r="P245" s="22"/>
      <c r="Q245" s="24"/>
      <c r="R245" s="25">
        <f>+'Worksheet 2'!$AR$1</f>
        <v>0</v>
      </c>
    </row>
    <row r="246" spans="1:18" ht="32.25">
      <c r="C246" s="165" t="s">
        <v>128</v>
      </c>
      <c r="D246" s="150" cm="1">
        <f t="array" aca="1" ref="D246" ca="1">INDIRECT("'Worksheet 2'!$K"&amp;$B245)</f>
        <v>0</v>
      </c>
      <c r="E246" s="151" t="s">
        <v>115</v>
      </c>
      <c r="F246" s="150" cm="1">
        <f t="array" aca="1" ref="F246" ca="1">INDIRECT("'Worksheet 2'!$M"&amp;$B245)</f>
        <v>0</v>
      </c>
      <c r="G246" s="151" t="s">
        <v>122</v>
      </c>
      <c r="H246" s="150" cm="1">
        <f t="array" aca="1" ref="H246" ca="1">INDIRECT("'Worksheet 2'!$O"&amp;$B245)</f>
        <v>0</v>
      </c>
      <c r="I246" s="29" t="str">
        <f>+IF('Worksheet 2'!$R$34=1,"Install",IF('Worksheet 2'!$R$34=2,"Ship",IF('Worksheet 2'!$R$34=3,"Deliver",IF('Worksheet 2'!$R$34=4,"Will Call"))))</f>
        <v>Install</v>
      </c>
      <c r="J246" s="30"/>
      <c r="L246" s="165" t="s">
        <v>128</v>
      </c>
      <c r="M246" s="150">
        <f t="shared" ref="M246:M254" ca="1" si="18">D246</f>
        <v>0</v>
      </c>
      <c r="N246" s="151" t="s">
        <v>115</v>
      </c>
      <c r="O246" s="152">
        <f ca="1">F246</f>
        <v>0</v>
      </c>
      <c r="P246" s="151" t="s">
        <v>122</v>
      </c>
      <c r="Q246" s="153">
        <f ca="1">H246</f>
        <v>0</v>
      </c>
      <c r="R246" s="29" t="str">
        <f>+IF('Worksheet 2'!$R$34=1,"Install",IF('Worksheet 2'!$R$34=2,"Ship",IF('Worksheet 2'!$R$34=3,"Deliver",IF('Worksheet 2'!$R$34=4,"Will Call"))))</f>
        <v>Install</v>
      </c>
    </row>
    <row r="247" spans="1:18" ht="12.75" customHeight="1">
      <c r="C247" s="164" t="s">
        <v>121</v>
      </c>
      <c r="D247" s="19" t="b">
        <f ca="1">+IF($D255="Left of Pair",((D246+F246)*'Worksheet 2'!AE251)/2,IF($D255="Panel",(D246+F246)*'Worksheet 2'!AE251,IF($H255="SOR",D246*2.5+6,IF($H255="SOR T&amp;B",D246*2.5+6))))</f>
        <v>0</v>
      </c>
      <c r="E247" s="19" t="s">
        <v>122</v>
      </c>
      <c r="F247" s="369">
        <f ca="1">H246+15</f>
        <v>15</v>
      </c>
      <c r="G247" s="448" cm="1">
        <f t="array" aca="1" ref="G247" ca="1">INDIRECT("'Worksheet 2'!$Y"&amp;$B245)</f>
        <v>0</v>
      </c>
      <c r="H247" s="448"/>
      <c r="I247" s="449"/>
      <c r="L247" s="164" t="s">
        <v>121</v>
      </c>
      <c r="M247" t="b">
        <f t="shared" ca="1" si="18"/>
        <v>0</v>
      </c>
      <c r="N247" s="19" t="s">
        <v>122</v>
      </c>
      <c r="O247" s="369">
        <f ca="1">F247</f>
        <v>15</v>
      </c>
      <c r="P247" s="450">
        <f ca="1">G247</f>
        <v>0</v>
      </c>
      <c r="Q247" s="450"/>
      <c r="R247" s="451"/>
    </row>
    <row r="248" spans="1:18" ht="19.5" customHeight="1">
      <c r="C248" s="166"/>
      <c r="D248" s="161" t="b" cm="1">
        <f t="array" aca="1" ref="D248" ca="1">IF($D255="Left of Pair",INDIRECT("'Worksheet 2'!$Q"&amp;$B245)/2,IF($D255="Panel",INDIRECT("'Worksheet 2'!$Q"&amp;$B245)))</f>
        <v>0</v>
      </c>
      <c r="E248" s="42" t="s">
        <v>41</v>
      </c>
      <c r="F248" s="370"/>
      <c r="G248" s="448"/>
      <c r="H248" s="448"/>
      <c r="I248" s="449"/>
      <c r="L248" s="166"/>
      <c r="M248" s="161" t="b">
        <f t="shared" ca="1" si="18"/>
        <v>0</v>
      </c>
      <c r="N248" s="42" t="s">
        <v>41</v>
      </c>
      <c r="O248" s="370"/>
      <c r="P248" s="450"/>
      <c r="Q248" s="452"/>
      <c r="R248" s="453"/>
    </row>
    <row r="249" spans="1:18" ht="15.75">
      <c r="C249" s="164" t="s">
        <v>135</v>
      </c>
      <c r="D249" s="19" t="str">
        <f ca="1">+IF(D253="yes",IF($D255="Left of Pair",($D250*$H253),IF($D255="Panel",$D250*$H253,IF($H255="SOR",$D250*$H253," ")))," ")</f>
        <v xml:space="preserve"> </v>
      </c>
      <c r="E249" s="19" t="s">
        <v>122</v>
      </c>
      <c r="F249" s="369" t="str">
        <f ca="1">IF(D253="YES",H246+12," ")</f>
        <v xml:space="preserve"> </v>
      </c>
      <c r="H249" s="343" t="s">
        <v>10</v>
      </c>
      <c r="I249" s="371" cm="1">
        <f t="array" aca="1" ref="I249" ca="1">INDIRECT("'Worksheet 2'!$Q"&amp;B245)</f>
        <v>0</v>
      </c>
      <c r="L249" s="164" t="s">
        <v>135</v>
      </c>
      <c r="M249" t="str">
        <f t="shared" ca="1" si="18"/>
        <v xml:space="preserve"> </v>
      </c>
      <c r="N249" s="19" t="s">
        <v>122</v>
      </c>
      <c r="O249" s="369" t="str">
        <f ca="1">F249</f>
        <v xml:space="preserve"> </v>
      </c>
      <c r="P249" s="19"/>
      <c r="Q249" s="343" t="s">
        <v>10</v>
      </c>
      <c r="R249" s="160">
        <f ca="1">I249</f>
        <v>0</v>
      </c>
    </row>
    <row r="250" spans="1:18">
      <c r="C250" s="167"/>
      <c r="D250" s="161" t="str" cm="1">
        <f t="array" aca="1" ref="D250" ca="1">IF(D253="yes",IF($D255="Left of Pair",INDIRECT("'Worksheet 2'!$S"&amp;$B245)/2,IF($D255="Panel",INDIRECT("'Worksheet 2'!$S"&amp;$B245)))," ")</f>
        <v xml:space="preserve"> </v>
      </c>
      <c r="E250" s="345" t="s">
        <v>41</v>
      </c>
      <c r="F250" s="372"/>
      <c r="G250" s="20"/>
      <c r="H250" s="343" t="s">
        <v>116</v>
      </c>
      <c r="I250" s="32">
        <f ca="1">IF(D255="Left of Pair",(D246+F246)/2,D246+F246)</f>
        <v>0</v>
      </c>
      <c r="L250" s="167"/>
      <c r="M250" s="344" t="str">
        <f t="shared" ca="1" si="18"/>
        <v xml:space="preserve"> </v>
      </c>
      <c r="N250" s="345" t="s">
        <v>41</v>
      </c>
      <c r="O250" s="372"/>
      <c r="P250" s="20"/>
      <c r="Q250" s="343" t="s">
        <v>116</v>
      </c>
      <c r="R250" s="32">
        <f ca="1">I250</f>
        <v>0</v>
      </c>
    </row>
    <row r="251" spans="1:18" ht="12.75" customHeight="1">
      <c r="C251" s="168" t="s">
        <v>114</v>
      </c>
      <c r="D251" s="373" cm="1">
        <f t="array" aca="1" ref="D251" ca="1">INDIRECT("'Worksheet 2'!$B"&amp;$B245)</f>
        <v>0</v>
      </c>
      <c r="E251" s="22"/>
      <c r="F251" s="23"/>
      <c r="G251" s="22"/>
      <c r="H251" s="24"/>
      <c r="I251" s="445" t="str" cm="1">
        <f t="array" aca="1" ref="I251" ca="1">INDIRECT("'Worksheet 2'!$A"&amp;$B245)</f>
        <v>P2-39</v>
      </c>
      <c r="L251" s="168" t="s">
        <v>114</v>
      </c>
      <c r="M251" s="31">
        <f t="shared" ca="1" si="18"/>
        <v>0</v>
      </c>
      <c r="N251" s="20"/>
      <c r="O251" s="33"/>
      <c r="P251" s="27"/>
      <c r="Q251" s="24"/>
      <c r="R251" s="445" t="str">
        <f ca="1">I251</f>
        <v>P2-39</v>
      </c>
    </row>
    <row r="252" spans="1:18" ht="15.75" customHeight="1">
      <c r="C252" s="164" t="s">
        <v>117</v>
      </c>
      <c r="D252" s="346" cm="1">
        <f t="array" aca="1" ref="D252" ca="1">INDIRECT("'Worksheet 2'!$H"&amp;$B245)</f>
        <v>0</v>
      </c>
      <c r="E252" s="20"/>
      <c r="F252" s="169" t="s">
        <v>118</v>
      </c>
      <c r="G252" s="35"/>
      <c r="H252" s="36" t="str">
        <f>+IF('Worksheet 2'!$R$38=TRUE,"Yes",IF('Worksheet 2'!$R$38=FALSE,"No"))</f>
        <v>Yes</v>
      </c>
      <c r="I252" s="446"/>
      <c r="L252" s="164" t="s">
        <v>117</v>
      </c>
      <c r="M252" s="34">
        <f t="shared" ca="1" si="18"/>
        <v>0</v>
      </c>
      <c r="N252" s="20"/>
      <c r="O252" s="169" t="s">
        <v>118</v>
      </c>
      <c r="P252" s="35"/>
      <c r="Q252" s="36" t="str">
        <f>H252</f>
        <v>Yes</v>
      </c>
      <c r="R252" s="446"/>
    </row>
    <row r="253" spans="1:18" ht="15.75" customHeight="1">
      <c r="C253" s="164" t="s">
        <v>119</v>
      </c>
      <c r="D253" s="37" t="str">
        <f ca="1">IF($E253&gt;0,"YES"," ")</f>
        <v xml:space="preserve"> </v>
      </c>
      <c r="E253" s="347" cm="1">
        <f t="array" aca="1" ref="E253" ca="1">INDIRECT("'Worksheet 2'!$X"&amp;$B245)</f>
        <v>0</v>
      </c>
      <c r="F253" s="39"/>
      <c r="G253" s="20"/>
      <c r="H253" s="347" t="str" cm="1">
        <f t="array" aca="1" ref="H253" ca="1">INDIRECT("'Worksheet 2'!$R"&amp;$B245)</f>
        <v xml:space="preserve"> </v>
      </c>
      <c r="I253" s="446"/>
      <c r="J253" s="40"/>
      <c r="L253" s="164" t="s">
        <v>119</v>
      </c>
      <c r="M253" s="37" t="str">
        <f t="shared" ca="1" si="18"/>
        <v xml:space="preserve"> </v>
      </c>
      <c r="N253" s="38">
        <f ca="1">E253</f>
        <v>0</v>
      </c>
      <c r="O253" s="39"/>
      <c r="P253" s="20"/>
      <c r="Q253" s="159" t="str">
        <f ca="1">H253</f>
        <v xml:space="preserve"> </v>
      </c>
      <c r="R253" s="446"/>
    </row>
    <row r="254" spans="1:18" ht="15.75" customHeight="1">
      <c r="C254" s="164" t="s">
        <v>13</v>
      </c>
      <c r="D254" s="347" cm="1">
        <f t="array" aca="1" ref="D254" ca="1">INDIRECT("'Worksheet 2'!$W"&amp;$B245)</f>
        <v>0</v>
      </c>
      <c r="E254" s="22"/>
      <c r="F254" s="23"/>
      <c r="G254" s="22"/>
      <c r="H254" s="347" t="str" cm="1">
        <f t="array" aca="1" ref="H254" ca="1">INDIRECT("'Worksheet 2'!$P"&amp;$B245)</f>
        <v xml:space="preserve"> </v>
      </c>
      <c r="I254" s="447"/>
      <c r="L254" s="164" t="s">
        <v>13</v>
      </c>
      <c r="M254" s="21">
        <f t="shared" ca="1" si="18"/>
        <v>0</v>
      </c>
      <c r="N254" s="22"/>
      <c r="O254" s="23"/>
      <c r="P254" s="22"/>
      <c r="Q254" s="159" t="str">
        <f ca="1">H254</f>
        <v xml:space="preserve"> </v>
      </c>
      <c r="R254" s="447"/>
    </row>
    <row r="255" spans="1:18" ht="23.25">
      <c r="C255" s="348" cm="1">
        <f t="array" aca="1" ref="C255" ca="1">INDIRECT("'Worksheet 2'!$J"&amp;$B245)</f>
        <v>0</v>
      </c>
      <c r="D255" s="444" t="b" cm="1">
        <f t="array" aca="1" ref="D255" ca="1">IF(INDIRECT("'Worksheet 2'!$D"&amp;$B245)=1, "Left of Pair", IF(INDIRECT("'Worksheet 2'!$E"&amp;$B245)=1, "Panel"))</f>
        <v>0</v>
      </c>
      <c r="E255" s="444"/>
      <c r="F255" s="444"/>
      <c r="G255" s="374"/>
      <c r="H255" s="374" t="str" cm="1">
        <f t="array" aca="1" ref="H255" ca="1">IF(INDIRECT("'Worksheet 2'!$F"&amp;$B245)="st","SOR T&amp;B"," ")</f>
        <v xml:space="preserve"> </v>
      </c>
      <c r="I255" s="415">
        <f>IF(Worksheet!$D$46&gt;0,Worksheet!$D$46," ")</f>
        <v>30</v>
      </c>
      <c r="L255" s="41">
        <f ca="1">$C255</f>
        <v>0</v>
      </c>
      <c r="M255" s="444" t="b" cm="1">
        <f t="array" aca="1" ref="M255" ca="1">IF(INDIRECT("'Worksheet 2'!$D"&amp;$B245)=1, "Right of Pair", IF(INDIRECT("'Worksheet 2'!$E"&amp;$B245)=1, "Do Not Use"))</f>
        <v>0</v>
      </c>
      <c r="N255" s="444"/>
      <c r="O255" s="444"/>
      <c r="P255" s="374"/>
      <c r="Q255" s="374"/>
      <c r="R255" s="415">
        <f>IF(Worksheet!$D$46&gt;0,Worksheet!$D$46," ")</f>
        <v>30</v>
      </c>
    </row>
    <row r="257" spans="1:18">
      <c r="O257" s="18" t="s">
        <v>107</v>
      </c>
    </row>
    <row r="258" spans="1:18" ht="30" customHeight="1"/>
    <row r="259" spans="1:18" ht="19.5">
      <c r="A259" t="s">
        <v>48</v>
      </c>
      <c r="B259">
        <v>30</v>
      </c>
      <c r="C259" s="164" t="s">
        <v>113</v>
      </c>
      <c r="D259" s="21" t="str">
        <f>+'Worksheet 2'!$W$4</f>
        <v>Windcrest WO#J5121027-00234.01</v>
      </c>
      <c r="E259" s="22"/>
      <c r="F259" s="23"/>
      <c r="G259" s="22"/>
      <c r="H259" s="24"/>
      <c r="I259" s="25">
        <f>+'Worksheet 2'!$AR$1</f>
        <v>0</v>
      </c>
      <c r="J259" s="26"/>
      <c r="L259" s="164" t="s">
        <v>113</v>
      </c>
      <c r="M259" s="21" t="str">
        <f>+'Worksheet 2'!$W$4</f>
        <v>Windcrest WO#J5121027-00234.01</v>
      </c>
      <c r="N259" s="22"/>
      <c r="O259" s="23"/>
      <c r="P259" s="22"/>
      <c r="Q259" s="24"/>
      <c r="R259" s="25">
        <f>+'Worksheet 2'!$AR$1</f>
        <v>0</v>
      </c>
    </row>
    <row r="260" spans="1:18" ht="32.25">
      <c r="C260" s="165" t="s">
        <v>128</v>
      </c>
      <c r="D260" s="150" cm="1">
        <f t="array" aca="1" ref="D260" ca="1">INDIRECT("'Worksheet 2'!$K"&amp;$B259)</f>
        <v>0</v>
      </c>
      <c r="E260" s="151" t="s">
        <v>115</v>
      </c>
      <c r="F260" s="150" cm="1">
        <f t="array" aca="1" ref="F260" ca="1">INDIRECT("'Worksheet 2'!$M"&amp;$B259)</f>
        <v>0</v>
      </c>
      <c r="G260" s="151" t="s">
        <v>122</v>
      </c>
      <c r="H260" s="150" cm="1">
        <f t="array" aca="1" ref="H260" ca="1">INDIRECT("'Worksheet 2'!$O"&amp;$B259)</f>
        <v>0</v>
      </c>
      <c r="I260" s="29" t="str">
        <f>+IF('Worksheet 2'!$R$34=1,"Install",IF('Worksheet 2'!$R$34=2,"Ship",IF('Worksheet 2'!$R$34=3,"Deliver",IF('Worksheet 2'!$R$34=4,"Will Call"))))</f>
        <v>Install</v>
      </c>
      <c r="J260" s="30"/>
      <c r="L260" s="165" t="s">
        <v>128</v>
      </c>
      <c r="M260" s="150">
        <f t="shared" ref="M260:M268" ca="1" si="19">D260</f>
        <v>0</v>
      </c>
      <c r="N260" s="151" t="s">
        <v>115</v>
      </c>
      <c r="O260" s="152">
        <f ca="1">F260</f>
        <v>0</v>
      </c>
      <c r="P260" s="151" t="s">
        <v>122</v>
      </c>
      <c r="Q260" s="153">
        <f ca="1">H260</f>
        <v>0</v>
      </c>
      <c r="R260" s="29" t="str">
        <f>+IF('Worksheet 2'!$R$34=1,"Install",IF('Worksheet 2'!$R$34=2,"Ship",IF('Worksheet 2'!$R$34=3,"Deliver",IF('Worksheet 2'!$R$34=4,"Will Call"))))</f>
        <v>Install</v>
      </c>
    </row>
    <row r="261" spans="1:18" ht="12.75" customHeight="1">
      <c r="C261" s="164" t="s">
        <v>121</v>
      </c>
      <c r="D261" s="19" t="b">
        <f ca="1">+IF($D269="Left of Pair",((D260+F260)*'Worksheet 2'!AE265)/2,IF($D269="Panel",(D260+F260)*'Worksheet 2'!AE265,IF($H269="SOR",D260*2.5+6,IF($H269="SOR T&amp;B",D260*2.5+6))))</f>
        <v>0</v>
      </c>
      <c r="E261" s="19" t="s">
        <v>122</v>
      </c>
      <c r="F261" s="369">
        <f ca="1">H260+15</f>
        <v>15</v>
      </c>
      <c r="G261" s="448" cm="1">
        <f t="array" aca="1" ref="G261" ca="1">INDIRECT("'Worksheet 2'!$Y"&amp;$B259)</f>
        <v>0</v>
      </c>
      <c r="H261" s="448"/>
      <c r="I261" s="449"/>
      <c r="L261" s="164" t="s">
        <v>121</v>
      </c>
      <c r="M261" t="b">
        <f t="shared" ca="1" si="19"/>
        <v>0</v>
      </c>
      <c r="N261" s="19" t="s">
        <v>122</v>
      </c>
      <c r="O261" s="369">
        <f ca="1">F261</f>
        <v>15</v>
      </c>
      <c r="P261" s="450">
        <f ca="1">G261</f>
        <v>0</v>
      </c>
      <c r="Q261" s="450"/>
      <c r="R261" s="451"/>
    </row>
    <row r="262" spans="1:18" ht="19.5" customHeight="1">
      <c r="C262" s="166"/>
      <c r="D262" s="161" t="b" cm="1">
        <f t="array" aca="1" ref="D262" ca="1">IF($D269="Left of Pair",INDIRECT("'Worksheet 2'!$Q"&amp;$B259)/2,IF($D269="Panel",INDIRECT("'Worksheet 2'!$Q"&amp;$B259)))</f>
        <v>0</v>
      </c>
      <c r="E262" s="42" t="s">
        <v>41</v>
      </c>
      <c r="F262" s="370"/>
      <c r="G262" s="448"/>
      <c r="H262" s="448"/>
      <c r="I262" s="449"/>
      <c r="L262" s="166"/>
      <c r="M262" s="161" t="b">
        <f t="shared" ca="1" si="19"/>
        <v>0</v>
      </c>
      <c r="N262" s="42" t="s">
        <v>41</v>
      </c>
      <c r="O262" s="370"/>
      <c r="P262" s="450"/>
      <c r="Q262" s="452"/>
      <c r="R262" s="453"/>
    </row>
    <row r="263" spans="1:18" ht="15.75">
      <c r="C263" s="164" t="s">
        <v>135</v>
      </c>
      <c r="D263" s="19" t="str">
        <f ca="1">+IF(D267="yes",IF($D269="Left of Pair",($D264*$H267),IF($D269="Panel",$D264*$H267,IF($H269="SOR",$D264*$H267," ")))," ")</f>
        <v xml:space="preserve"> </v>
      </c>
      <c r="E263" s="19" t="s">
        <v>122</v>
      </c>
      <c r="F263" s="369" t="str">
        <f ca="1">IF(D267="YES",H260+12," ")</f>
        <v xml:space="preserve"> </v>
      </c>
      <c r="H263" s="343" t="s">
        <v>10</v>
      </c>
      <c r="I263" s="371" cm="1">
        <f t="array" aca="1" ref="I263" ca="1">INDIRECT("'Worksheet 2'!$Q"&amp;B259)</f>
        <v>0</v>
      </c>
      <c r="L263" s="164" t="s">
        <v>135</v>
      </c>
      <c r="M263" t="str">
        <f t="shared" ca="1" si="19"/>
        <v xml:space="preserve"> </v>
      </c>
      <c r="N263" s="19" t="s">
        <v>122</v>
      </c>
      <c r="O263" s="369" t="str">
        <f ca="1">F263</f>
        <v xml:space="preserve"> </v>
      </c>
      <c r="P263" s="19"/>
      <c r="Q263" s="343" t="s">
        <v>10</v>
      </c>
      <c r="R263" s="160">
        <f ca="1">I263</f>
        <v>0</v>
      </c>
    </row>
    <row r="264" spans="1:18">
      <c r="C264" s="167"/>
      <c r="D264" s="161" t="str" cm="1">
        <f t="array" aca="1" ref="D264" ca="1">IF(D267="yes",IF($D269="Left of Pair",INDIRECT("'Worksheet 2'!$S"&amp;$B259)/2,IF($D269="Panel",INDIRECT("'Worksheet 2'!$S"&amp;$B259)))," ")</f>
        <v xml:space="preserve"> </v>
      </c>
      <c r="E264" s="345" t="s">
        <v>41</v>
      </c>
      <c r="F264" s="372"/>
      <c r="G264" s="20"/>
      <c r="H264" s="343" t="s">
        <v>116</v>
      </c>
      <c r="I264" s="32">
        <f ca="1">IF(D269="Left of Pair",(D260+F260)/2,D260+F260)</f>
        <v>0</v>
      </c>
      <c r="L264" s="167"/>
      <c r="M264" s="344" t="str">
        <f t="shared" ca="1" si="19"/>
        <v xml:space="preserve"> </v>
      </c>
      <c r="N264" s="345" t="s">
        <v>41</v>
      </c>
      <c r="O264" s="372"/>
      <c r="P264" s="20"/>
      <c r="Q264" s="343" t="s">
        <v>116</v>
      </c>
      <c r="R264" s="32">
        <f ca="1">I264</f>
        <v>0</v>
      </c>
    </row>
    <row r="265" spans="1:18" ht="12.75" customHeight="1">
      <c r="C265" s="168" t="s">
        <v>114</v>
      </c>
      <c r="D265" s="373" cm="1">
        <f t="array" aca="1" ref="D265" ca="1">INDIRECT("'Worksheet 2'!$B"&amp;$B259)</f>
        <v>0</v>
      </c>
      <c r="E265" s="22"/>
      <c r="F265" s="23"/>
      <c r="G265" s="22"/>
      <c r="H265" s="24"/>
      <c r="I265" s="445" t="str" cm="1">
        <f t="array" aca="1" ref="I265" ca="1">INDIRECT("'Worksheet 2'!$A"&amp;$B259)</f>
        <v>P2-40</v>
      </c>
      <c r="L265" s="168" t="s">
        <v>114</v>
      </c>
      <c r="M265" s="31">
        <f t="shared" ca="1" si="19"/>
        <v>0</v>
      </c>
      <c r="N265" s="20"/>
      <c r="O265" s="33"/>
      <c r="P265" s="27"/>
      <c r="Q265" s="24"/>
      <c r="R265" s="445" t="str">
        <f ca="1">I265</f>
        <v>P2-40</v>
      </c>
    </row>
    <row r="266" spans="1:18" ht="15.75" customHeight="1">
      <c r="C266" s="164" t="s">
        <v>117</v>
      </c>
      <c r="D266" s="346" cm="1">
        <f t="array" aca="1" ref="D266" ca="1">INDIRECT("'Worksheet 2'!$H"&amp;$B259)</f>
        <v>0</v>
      </c>
      <c r="E266" s="20"/>
      <c r="F266" s="169" t="s">
        <v>118</v>
      </c>
      <c r="G266" s="35"/>
      <c r="H266" s="36" t="str">
        <f>+IF('Worksheet 2'!$R$38=TRUE,"Yes",IF('Worksheet 2'!$R$38=FALSE,"No"))</f>
        <v>Yes</v>
      </c>
      <c r="I266" s="446"/>
      <c r="L266" s="164" t="s">
        <v>117</v>
      </c>
      <c r="M266" s="34">
        <f t="shared" ca="1" si="19"/>
        <v>0</v>
      </c>
      <c r="N266" s="20"/>
      <c r="O266" s="169" t="s">
        <v>118</v>
      </c>
      <c r="P266" s="35"/>
      <c r="Q266" s="36" t="str">
        <f>H266</f>
        <v>Yes</v>
      </c>
      <c r="R266" s="446"/>
    </row>
    <row r="267" spans="1:18" ht="15.75" customHeight="1">
      <c r="C267" s="164" t="s">
        <v>119</v>
      </c>
      <c r="D267" s="37" t="str">
        <f ca="1">IF($E267&gt;0,"YES"," ")</f>
        <v xml:space="preserve"> </v>
      </c>
      <c r="E267" s="347" cm="1">
        <f t="array" aca="1" ref="E267" ca="1">INDIRECT("'Worksheet 2'!$X"&amp;$B259)</f>
        <v>0</v>
      </c>
      <c r="F267" s="39"/>
      <c r="G267" s="20"/>
      <c r="H267" s="347" t="str" cm="1">
        <f t="array" aca="1" ref="H267" ca="1">INDIRECT("'Worksheet 2'!$R"&amp;$B259)</f>
        <v xml:space="preserve"> </v>
      </c>
      <c r="I267" s="446"/>
      <c r="J267" s="40"/>
      <c r="L267" s="164" t="s">
        <v>119</v>
      </c>
      <c r="M267" s="37" t="str">
        <f t="shared" ca="1" si="19"/>
        <v xml:space="preserve"> </v>
      </c>
      <c r="N267" s="38">
        <f ca="1">E267</f>
        <v>0</v>
      </c>
      <c r="O267" s="39"/>
      <c r="P267" s="20"/>
      <c r="Q267" s="159" t="str">
        <f ca="1">H267</f>
        <v xml:space="preserve"> </v>
      </c>
      <c r="R267" s="446"/>
    </row>
    <row r="268" spans="1:18" ht="15.75" customHeight="1">
      <c r="C268" s="164" t="s">
        <v>13</v>
      </c>
      <c r="D268" s="347" cm="1">
        <f t="array" aca="1" ref="D268" ca="1">INDIRECT("'Worksheet 2'!$W"&amp;$B259)</f>
        <v>0</v>
      </c>
      <c r="E268" s="22"/>
      <c r="F268" s="23"/>
      <c r="G268" s="22"/>
      <c r="H268" s="347" t="str" cm="1">
        <f t="array" aca="1" ref="H268" ca="1">INDIRECT("'Worksheet 2'!$P"&amp;$B259)</f>
        <v xml:space="preserve"> </v>
      </c>
      <c r="I268" s="447"/>
      <c r="L268" s="164" t="s">
        <v>13</v>
      </c>
      <c r="M268" s="21">
        <f t="shared" ca="1" si="19"/>
        <v>0</v>
      </c>
      <c r="N268" s="22"/>
      <c r="O268" s="23"/>
      <c r="P268" s="22"/>
      <c r="Q268" s="159" t="str">
        <f ca="1">H268</f>
        <v xml:space="preserve"> </v>
      </c>
      <c r="R268" s="447"/>
    </row>
    <row r="269" spans="1:18" ht="23.25">
      <c r="C269" s="348" cm="1">
        <f t="array" aca="1" ref="C269" ca="1">INDIRECT("'Worksheet 2'!$J"&amp;$B259)</f>
        <v>0</v>
      </c>
      <c r="D269" s="444" t="b" cm="1">
        <f t="array" aca="1" ref="D269" ca="1">IF(INDIRECT("'Worksheet 2'!$D"&amp;$B259)=1, "Left of Pair", IF(INDIRECT("'Worksheet 2'!$E"&amp;$B259)=1, "Panel"))</f>
        <v>0</v>
      </c>
      <c r="E269" s="444"/>
      <c r="F269" s="444"/>
      <c r="G269" s="374"/>
      <c r="H269" s="374" t="str" cm="1">
        <f t="array" aca="1" ref="H269" ca="1">IF(INDIRECT("'Worksheet 2'!$F"&amp;$B259)="st","SOR T&amp;B"," ")</f>
        <v xml:space="preserve"> </v>
      </c>
      <c r="I269" s="415">
        <f>IF(Worksheet!$D$46&gt;0,Worksheet!$D$46," ")</f>
        <v>30</v>
      </c>
      <c r="L269" s="41">
        <f ca="1">$C269</f>
        <v>0</v>
      </c>
      <c r="M269" s="444" t="b" cm="1">
        <f t="array" aca="1" ref="M269" ca="1">IF(INDIRECT("'Worksheet 2'!$D"&amp;$B259)=1, "Right of Pair", IF(INDIRECT("'Worksheet 2'!$E"&amp;$B259)=1, "Do Not Use"))</f>
        <v>0</v>
      </c>
      <c r="N269" s="444"/>
      <c r="O269" s="444"/>
      <c r="P269" s="374"/>
      <c r="Q269" s="374"/>
      <c r="R269" s="415">
        <f>IF(Worksheet!$D$46&gt;0,Worksheet!$D$46," ")</f>
        <v>30</v>
      </c>
    </row>
  </sheetData>
  <mergeCells count="120">
    <mergeCell ref="G261:I262"/>
    <mergeCell ref="P261:R262"/>
    <mergeCell ref="I265:I268"/>
    <mergeCell ref="R265:R268"/>
    <mergeCell ref="D269:F269"/>
    <mergeCell ref="M269:O269"/>
    <mergeCell ref="G247:I248"/>
    <mergeCell ref="P247:R248"/>
    <mergeCell ref="I251:I254"/>
    <mergeCell ref="R251:R254"/>
    <mergeCell ref="D255:F255"/>
    <mergeCell ref="M255:O255"/>
    <mergeCell ref="G233:I234"/>
    <mergeCell ref="P233:R234"/>
    <mergeCell ref="I237:I240"/>
    <mergeCell ref="R237:R240"/>
    <mergeCell ref="D241:F241"/>
    <mergeCell ref="M241:O241"/>
    <mergeCell ref="G219:I220"/>
    <mergeCell ref="P219:R220"/>
    <mergeCell ref="I223:I226"/>
    <mergeCell ref="R223:R226"/>
    <mergeCell ref="D227:F227"/>
    <mergeCell ref="M227:O227"/>
    <mergeCell ref="G207:I208"/>
    <mergeCell ref="P207:R208"/>
    <mergeCell ref="I211:I214"/>
    <mergeCell ref="R211:R214"/>
    <mergeCell ref="D215:F215"/>
    <mergeCell ref="M215:O215"/>
    <mergeCell ref="G193:I194"/>
    <mergeCell ref="P193:R194"/>
    <mergeCell ref="I197:I200"/>
    <mergeCell ref="R197:R200"/>
    <mergeCell ref="D201:F201"/>
    <mergeCell ref="M201:O201"/>
    <mergeCell ref="G179:I180"/>
    <mergeCell ref="P179:R180"/>
    <mergeCell ref="I183:I186"/>
    <mergeCell ref="R183:R186"/>
    <mergeCell ref="D187:F187"/>
    <mergeCell ref="M187:O187"/>
    <mergeCell ref="G165:I166"/>
    <mergeCell ref="P165:R166"/>
    <mergeCell ref="I169:I172"/>
    <mergeCell ref="R169:R172"/>
    <mergeCell ref="D173:F173"/>
    <mergeCell ref="M173:O173"/>
    <mergeCell ref="G153:I154"/>
    <mergeCell ref="P153:R154"/>
    <mergeCell ref="I157:I160"/>
    <mergeCell ref="R157:R160"/>
    <mergeCell ref="D161:F161"/>
    <mergeCell ref="M161:O161"/>
    <mergeCell ref="G139:I140"/>
    <mergeCell ref="P139:R140"/>
    <mergeCell ref="I143:I146"/>
    <mergeCell ref="R143:R146"/>
    <mergeCell ref="D147:F147"/>
    <mergeCell ref="M147:O147"/>
    <mergeCell ref="G125:I126"/>
    <mergeCell ref="P125:R126"/>
    <mergeCell ref="I129:I132"/>
    <mergeCell ref="R129:R132"/>
    <mergeCell ref="D133:F133"/>
    <mergeCell ref="M133:O133"/>
    <mergeCell ref="G111:I112"/>
    <mergeCell ref="P111:R112"/>
    <mergeCell ref="I115:I118"/>
    <mergeCell ref="R115:R118"/>
    <mergeCell ref="D119:F119"/>
    <mergeCell ref="M119:O119"/>
    <mergeCell ref="G99:I100"/>
    <mergeCell ref="P99:R100"/>
    <mergeCell ref="I103:I106"/>
    <mergeCell ref="R103:R106"/>
    <mergeCell ref="D107:F107"/>
    <mergeCell ref="M107:O107"/>
    <mergeCell ref="G85:I86"/>
    <mergeCell ref="P85:R86"/>
    <mergeCell ref="I89:I92"/>
    <mergeCell ref="R89:R92"/>
    <mergeCell ref="D93:F93"/>
    <mergeCell ref="M93:O93"/>
    <mergeCell ref="G71:I72"/>
    <mergeCell ref="P71:R72"/>
    <mergeCell ref="I75:I78"/>
    <mergeCell ref="R75:R78"/>
    <mergeCell ref="D79:F79"/>
    <mergeCell ref="M79:O79"/>
    <mergeCell ref="G57:I58"/>
    <mergeCell ref="P57:R58"/>
    <mergeCell ref="I61:I64"/>
    <mergeCell ref="R61:R64"/>
    <mergeCell ref="D65:F65"/>
    <mergeCell ref="M65:O65"/>
    <mergeCell ref="G45:I46"/>
    <mergeCell ref="P45:R46"/>
    <mergeCell ref="I49:I52"/>
    <mergeCell ref="R49:R52"/>
    <mergeCell ref="D53:F53"/>
    <mergeCell ref="M53:O53"/>
    <mergeCell ref="G31:I32"/>
    <mergeCell ref="P31:R32"/>
    <mergeCell ref="I35:I38"/>
    <mergeCell ref="R35:R38"/>
    <mergeCell ref="D39:F39"/>
    <mergeCell ref="M39:O39"/>
    <mergeCell ref="G17:I18"/>
    <mergeCell ref="P17:R18"/>
    <mergeCell ref="I21:I24"/>
    <mergeCell ref="R21:R24"/>
    <mergeCell ref="D25:F25"/>
    <mergeCell ref="M25:O25"/>
    <mergeCell ref="G3:I4"/>
    <mergeCell ref="P3:R4"/>
    <mergeCell ref="I7:I10"/>
    <mergeCell ref="R7:R10"/>
    <mergeCell ref="D11:F11"/>
    <mergeCell ref="M11:O11"/>
  </mergeCells>
  <printOptions gridLinesSet="0"/>
  <pageMargins left="0.15" right="0.15" top="0.2" bottom="0.15" header="0.2" footer="0.15"/>
  <pageSetup scale="77" orientation="portrait" r:id="rId1"/>
  <headerFooter alignWithMargins="0"/>
  <rowBreaks count="4" manualBreakCount="4">
    <brk id="54" max="16383" man="1"/>
    <brk id="108" max="16383" man="1"/>
    <brk id="162" max="16383" man="1"/>
    <brk id="21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16</vt:i4>
      </vt:variant>
    </vt:vector>
  </HeadingPairs>
  <TitlesOfParts>
    <vt:vector size="29" baseType="lpstr">
      <vt:lpstr>Quote</vt:lpstr>
      <vt:lpstr>Worksheet</vt:lpstr>
      <vt:lpstr>TICKETS (1)</vt:lpstr>
      <vt:lpstr>Workroom Copy</vt:lpstr>
      <vt:lpstr>Installation Copy</vt:lpstr>
      <vt:lpstr>Shipping Copy</vt:lpstr>
      <vt:lpstr>Data Sheet</vt:lpstr>
      <vt:lpstr>Worksheet 2</vt:lpstr>
      <vt:lpstr>TICKETS (2)</vt:lpstr>
      <vt:lpstr>Workroom Copy (2)</vt:lpstr>
      <vt:lpstr>Installation Copy (2)</vt:lpstr>
      <vt:lpstr>Shipping Copy (2)</vt:lpstr>
      <vt:lpstr>Sunburst calculator</vt:lpstr>
      <vt:lpstr>install_price</vt:lpstr>
      <vt:lpstr>Lining_Sew_Price</vt:lpstr>
      <vt:lpstr>'Installation Copy'!Print_Area</vt:lpstr>
      <vt:lpstr>'Installation Copy (2)'!Print_Area</vt:lpstr>
      <vt:lpstr>Quote!Print_Area</vt:lpstr>
      <vt:lpstr>'Shipping Copy'!Print_Area</vt:lpstr>
      <vt:lpstr>'Shipping Copy (2)'!Print_Area</vt:lpstr>
      <vt:lpstr>'Sunburst calculator'!Print_Area</vt:lpstr>
      <vt:lpstr>'TICKETS (1)'!Print_Area</vt:lpstr>
      <vt:lpstr>'TICKETS (2)'!Print_Area</vt:lpstr>
      <vt:lpstr>'Workroom Copy'!Print_Area</vt:lpstr>
      <vt:lpstr>'Workroom Copy (2)'!Print_Area</vt:lpstr>
      <vt:lpstr>Worksheet!Print_Area</vt:lpstr>
      <vt:lpstr>'Worksheet 2'!Print_Area</vt:lpstr>
      <vt:lpstr>sew_price</vt:lpstr>
      <vt:lpstr>squeeze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Colton Inc.</dc:creator>
  <cp:lastModifiedBy>Colton Inc.</cp:lastModifiedBy>
  <cp:lastPrinted>2025-05-07T22:07:02Z</cp:lastPrinted>
  <dcterms:created xsi:type="dcterms:W3CDTF">1997-04-14T18:07:46Z</dcterms:created>
  <dcterms:modified xsi:type="dcterms:W3CDTF">2025-05-14T18:45:02Z</dcterms:modified>
</cp:coreProperties>
</file>